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apkerk-my.sharepoint.com/personal/ivaneck_kaapkerk_co_za/Documents/002. SALARISSE &amp; PENSIOENTREKKERS/Inligting en notas/Inligting en Uitwerkhulpe/2026-27/"/>
    </mc:Choice>
  </mc:AlternateContent>
  <xr:revisionPtr revIDLastSave="18" documentId="8_{7CE14772-84CE-4717-831C-969820E23350}" xr6:coauthVersionLast="47" xr6:coauthVersionMax="47" xr10:uidLastSave="{D6EBE3E8-0BC8-4B5C-AAE8-25D0AA438725}"/>
  <bookViews>
    <workbookView xWindow="-108" yWindow="-108" windowWidth="23256" windowHeight="12456" tabRatio="832" xr2:uid="{00000000-000D-0000-FFFF-FFFF00000000}"/>
  </bookViews>
  <sheets>
    <sheet name="Syfers" sheetId="1" r:id="rId1"/>
    <sheet name="Behuising-tax" sheetId="7" r:id="rId2"/>
    <sheet name="Werksmotor-tax" sheetId="8" r:id="rId3"/>
    <sheet name="Belasting" sheetId="2" r:id="rId4"/>
    <sheet name="Belastingtabel" sheetId="6" r:id="rId5"/>
    <sheet name="Payslip" sheetId="11" r:id="rId6"/>
    <sheet name="IRP5-opsomming pm" sheetId="13" r:id="rId7"/>
  </sheets>
  <definedNames>
    <definedName name="_xlnm.Print_Area" localSheetId="1">'Behuising-tax'!$A$1:$E$80</definedName>
    <definedName name="_xlnm.Print_Area" localSheetId="4">Belastingtabel!$A$1:$I$50</definedName>
    <definedName name="_xlnm.Print_Area" localSheetId="2">'Werksmotor-tax'!$A$1:$D$47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G11" i="6" l="1"/>
  <c r="A11" i="6"/>
  <c r="G10" i="6"/>
  <c r="A10" i="6"/>
  <c r="G9" i="6"/>
  <c r="A9" i="6"/>
  <c r="G8" i="6"/>
  <c r="A8" i="6"/>
  <c r="G7" i="6"/>
  <c r="A7" i="6"/>
  <c r="G6" i="6"/>
  <c r="A6" i="6"/>
  <c r="D46" i="1" l="1"/>
  <c r="D34" i="1"/>
  <c r="D49" i="1" s="1"/>
  <c r="D33" i="1"/>
  <c r="G49" i="1"/>
  <c r="C32" i="2"/>
  <c r="D7" i="1"/>
  <c r="D26" i="6" l="1"/>
  <c r="D87" i="13" l="1"/>
  <c r="D86" i="13"/>
  <c r="D72" i="13"/>
  <c r="D50" i="13"/>
  <c r="D38" i="13"/>
  <c r="D19" i="13"/>
  <c r="D56" i="13" s="1"/>
  <c r="D13" i="13"/>
  <c r="E20" i="7" l="1"/>
  <c r="I27" i="11" l="1"/>
  <c r="I26" i="11"/>
  <c r="I25" i="11"/>
  <c r="I24" i="11"/>
  <c r="I23" i="11"/>
  <c r="I22" i="11"/>
  <c r="G33" i="11"/>
  <c r="I33" i="11" s="1"/>
  <c r="G32" i="11"/>
  <c r="I32" i="11" s="1"/>
  <c r="G31" i="11"/>
  <c r="I31" i="11" s="1"/>
  <c r="C27" i="2"/>
  <c r="C28" i="2"/>
  <c r="D20" i="11"/>
  <c r="B25" i="11"/>
  <c r="D25" i="11" s="1"/>
  <c r="D11" i="11"/>
  <c r="D12" i="11"/>
  <c r="D10" i="11"/>
  <c r="A1" i="11"/>
  <c r="A4" i="11"/>
  <c r="D65" i="13" l="1"/>
  <c r="I46" i="11"/>
  <c r="D44" i="11"/>
  <c r="D46" i="11" s="1"/>
  <c r="C30" i="2" l="1"/>
  <c r="C31" i="2"/>
  <c r="C33" i="2"/>
  <c r="D73" i="13" s="1"/>
  <c r="D71" i="13" s="1"/>
  <c r="C18" i="2"/>
  <c r="C17" i="2"/>
  <c r="C19" i="2"/>
  <c r="D51" i="1"/>
  <c r="I29" i="11" s="1"/>
  <c r="D52" i="1"/>
  <c r="I30" i="11" s="1"/>
  <c r="D50" i="1"/>
  <c r="D21" i="1"/>
  <c r="I28" i="11" l="1"/>
  <c r="D78" i="13"/>
  <c r="D69" i="13"/>
  <c r="D58" i="1" l="1"/>
  <c r="D26" i="1" l="1"/>
  <c r="D13" i="1" s="1"/>
  <c r="C23" i="2" s="1"/>
  <c r="E18" i="2" s="1"/>
  <c r="D37" i="1"/>
  <c r="D36" i="1"/>
  <c r="D35" i="1"/>
  <c r="C29" i="2" l="1"/>
  <c r="D48" i="13"/>
  <c r="E23" i="2"/>
  <c r="D29" i="13" s="1"/>
  <c r="E17" i="2"/>
  <c r="D15" i="11"/>
  <c r="C22" i="2"/>
  <c r="E22" i="2" s="1"/>
  <c r="D28" i="13" s="1"/>
  <c r="D14" i="11"/>
  <c r="C21" i="2"/>
  <c r="E21" i="2" s="1"/>
  <c r="D27" i="13" s="1"/>
  <c r="D13" i="11"/>
  <c r="C20" i="2"/>
  <c r="E20" i="2" s="1"/>
  <c r="D42" i="13" s="1"/>
  <c r="D38" i="1"/>
  <c r="G26" i="1"/>
  <c r="D21" i="11" s="1"/>
  <c r="D53" i="1"/>
  <c r="C7" i="2"/>
  <c r="E7" i="2" s="1"/>
  <c r="D68" i="13" l="1"/>
  <c r="D67" i="13" s="1"/>
  <c r="D84" i="13"/>
  <c r="D83" i="13" s="1"/>
  <c r="D47" i="13"/>
  <c r="C26" i="2"/>
  <c r="C34" i="2" s="1"/>
  <c r="D45" i="13"/>
  <c r="D77" i="13"/>
  <c r="D41" i="13"/>
  <c r="E26" i="6"/>
  <c r="D81" i="13" l="1"/>
  <c r="D80" i="13" s="1"/>
  <c r="D44" i="13"/>
  <c r="D64" i="13"/>
  <c r="D63" i="13" s="1"/>
  <c r="D76" i="13"/>
  <c r="D90" i="13"/>
  <c r="D89" i="13" s="1"/>
  <c r="E22" i="7"/>
  <c r="D93" i="13" l="1"/>
  <c r="D27" i="1"/>
  <c r="C13" i="2" s="1"/>
  <c r="C10" i="2"/>
  <c r="E10" i="2" s="1"/>
  <c r="D23" i="13" s="1"/>
  <c r="D22" i="13" s="1"/>
  <c r="D23" i="11" l="1"/>
  <c r="C8" i="2"/>
  <c r="E8" i="2" s="1"/>
  <c r="D11" i="13" s="1"/>
  <c r="D28" i="1" l="1"/>
  <c r="C9" i="2" s="1"/>
  <c r="D24" i="11" l="1"/>
  <c r="D34" i="11" s="1"/>
  <c r="C14" i="2"/>
  <c r="D30" i="1"/>
  <c r="D60" i="1" s="1"/>
  <c r="D38" i="8" l="1"/>
  <c r="E14" i="2" s="1"/>
  <c r="D33" i="13" s="1"/>
  <c r="D32" i="13" s="1"/>
  <c r="D39" i="6" l="1"/>
  <c r="D40" i="6" l="1"/>
  <c r="E40" i="6" s="1"/>
  <c r="E33" i="7"/>
  <c r="E34" i="7" s="1"/>
  <c r="E37" i="7" s="1"/>
  <c r="E13" i="2" s="1"/>
  <c r="D41" i="6" l="1"/>
  <c r="E41" i="6" s="1"/>
  <c r="E42" i="6" s="1"/>
  <c r="B3" i="2"/>
  <c r="E43" i="6" l="1"/>
  <c r="E42" i="2" s="1"/>
  <c r="D111" i="13"/>
  <c r="D42" i="6"/>
  <c r="E9" i="2" l="1"/>
  <c r="D96" i="13" s="1"/>
  <c r="D95" i="13" s="1"/>
  <c r="D17" i="13"/>
  <c r="D16" i="13" s="1"/>
  <c r="E19" i="2"/>
  <c r="D26" i="13" s="1"/>
  <c r="D25" i="13" s="1"/>
  <c r="D36" i="13"/>
  <c r="D35" i="13" s="1"/>
  <c r="C6" i="2" l="1"/>
  <c r="E6" i="2" s="1"/>
  <c r="E11" i="2" l="1"/>
  <c r="E15" i="2" s="1"/>
  <c r="E24" i="2" s="1"/>
  <c r="C35" i="2" s="1"/>
  <c r="D10" i="13"/>
  <c r="D9" i="13" s="1"/>
  <c r="E48" i="2" l="1"/>
  <c r="D9" i="11" s="1"/>
  <c r="D54" i="13"/>
  <c r="D57" i="13" s="1"/>
  <c r="D58" i="13" s="1"/>
  <c r="E26" i="2" l="1"/>
  <c r="E37" i="2" s="1"/>
  <c r="E39" i="2" s="1"/>
  <c r="E19" i="6" s="1"/>
  <c r="E22" i="6" s="1"/>
  <c r="C24" i="6" s="1"/>
  <c r="D61" i="1"/>
  <c r="I21" i="11"/>
  <c r="D105" i="13"/>
  <c r="D106" i="13" s="1"/>
  <c r="D104" i="13" s="1"/>
  <c r="D17" i="11"/>
  <c r="D36" i="11" s="1"/>
  <c r="D24" i="6" l="1"/>
  <c r="E24" i="6" s="1"/>
  <c r="E25" i="6" s="1"/>
  <c r="E27" i="6" s="1"/>
  <c r="E41" i="2" s="1"/>
  <c r="E43" i="2" s="1"/>
  <c r="E45" i="2" s="1"/>
  <c r="D102" i="13" s="1"/>
  <c r="D101" i="13" s="1"/>
  <c r="D109" i="13" s="1"/>
  <c r="I20" i="11" l="1"/>
  <c r="I34" i="11" s="1"/>
  <c r="I36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vaneck</author>
    <author>I van Eck</author>
  </authors>
  <commentList>
    <comment ref="E26" authorId="0" shapeId="0" xr:uid="{00000000-0006-0000-0000-000001000000}">
      <text>
        <r>
          <rPr>
            <sz val="9"/>
            <color indexed="81"/>
            <rFont val="Tahoma"/>
            <family val="2"/>
          </rPr>
          <t>Indien "EIE BEDRAG" gekies by C21:   Tik in eie bonusbedrag pm</t>
        </r>
      </text>
    </comment>
    <comment ref="E27" authorId="0" shapeId="0" xr:uid="{00000000-0006-0000-0000-000002000000}">
      <text>
        <r>
          <rPr>
            <sz val="9"/>
            <color indexed="81"/>
            <rFont val="Tahoma"/>
            <family val="2"/>
          </rPr>
          <t>Tik in huistoelaag bedrag pm indien van toepassing</t>
        </r>
      </text>
    </comment>
    <comment ref="E28" authorId="1" shapeId="0" xr:uid="{00000000-0006-0000-0000-000003000000}">
      <text>
        <r>
          <rPr>
            <sz val="9"/>
            <color indexed="81"/>
            <rFont val="Tahoma"/>
            <family val="2"/>
          </rPr>
          <t>Tik in reistoelaag bedrag pm indien van toepassing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vaneck</author>
  </authors>
  <commentList>
    <comment ref="A9" authorId="0" shapeId="0" xr:uid="{00000000-0006-0000-0300-000001000000}">
      <text>
        <r>
          <rPr>
            <sz val="8"/>
            <color indexed="81"/>
            <rFont val="Tahoma"/>
            <family val="2"/>
          </rPr>
          <t>Kies persentasie belasting vir voertuig- en vervoertoelae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vaneck</author>
  </authors>
  <commentList>
    <comment ref="I4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Vul datums of maand en jaar in, </t>
        </r>
        <r>
          <rPr>
            <b/>
            <sz val="9"/>
            <color indexed="81"/>
            <rFont val="Tahoma"/>
            <family val="2"/>
          </rPr>
          <t>indien hierdie bladsy uitgedruk word aan personeel.</t>
        </r>
      </text>
    </comment>
    <comment ref="F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Indien hierdie bladsy uitgedruk word aan personeel:</t>
        </r>
        <r>
          <rPr>
            <sz val="9"/>
            <color indexed="81"/>
            <rFont val="Tahoma"/>
            <family val="2"/>
          </rPr>
          <t xml:space="preserve">
Vul eie addisionele inligting in na goeddunke/keuse: </t>
        </r>
        <r>
          <rPr>
            <i/>
            <sz val="9"/>
            <color indexed="81"/>
            <rFont val="Tahoma"/>
            <family val="2"/>
          </rPr>
          <t>Ruimte voorsien in 'n blok vanaf sel F8 tot en met sel I16</t>
        </r>
      </text>
    </comment>
    <comment ref="D22" authorId="0" shapeId="0" xr:uid="{00000000-0006-0000-0500-000003000000}">
      <text>
        <r>
          <rPr>
            <sz val="9"/>
            <color indexed="81"/>
            <rFont val="Tahoma"/>
            <family val="2"/>
          </rPr>
          <t xml:space="preserve">Vul in jaarlikse bonus in </t>
        </r>
        <r>
          <rPr>
            <sz val="9"/>
            <color indexed="10"/>
            <rFont val="Tahoma"/>
            <family val="2"/>
          </rPr>
          <t>BONUSMAAND</t>
        </r>
        <r>
          <rPr>
            <sz val="9"/>
            <color indexed="81"/>
            <rFont val="Tahoma"/>
            <family val="2"/>
          </rPr>
          <t xml:space="preserve"> (as reeds maandeliks belas word).  </t>
        </r>
        <r>
          <rPr>
            <i/>
            <sz val="9"/>
            <color indexed="81"/>
            <rFont val="Tahoma"/>
            <family val="2"/>
          </rPr>
          <t>Sien "Syfers" werkblad,</t>
        </r>
        <r>
          <rPr>
            <sz val="9"/>
            <color indexed="81"/>
            <rFont val="Tahoma"/>
            <family val="2"/>
          </rPr>
          <t xml:space="preserve"> sel: D28.  R… pm x12</t>
        </r>
      </text>
    </comment>
    <comment ref="E39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 xml:space="preserve">VERLOWWE:
</t>
        </r>
        <r>
          <rPr>
            <sz val="9"/>
            <color indexed="81"/>
            <rFont val="Tahoma"/>
            <family val="2"/>
          </rPr>
          <t>Spasies oop vir intik van Allokasies, saldo o/d, geneem, beplan, siklusdatum.</t>
        </r>
      </text>
    </comment>
  </commentList>
</comments>
</file>

<file path=xl/sharedStrings.xml><?xml version="1.0" encoding="utf-8"?>
<sst xmlns="http://schemas.openxmlformats.org/spreadsheetml/2006/main" count="498" uniqueCount="364">
  <si>
    <t>Per maand</t>
  </si>
  <si>
    <t>HUIS</t>
  </si>
  <si>
    <t>VOERTUIG- EN VERVOERTOELAE</t>
  </si>
  <si>
    <t>Afkortings</t>
  </si>
  <si>
    <t>WG = Werkgewer</t>
  </si>
  <si>
    <t>WVF = Werkloosheidsversekeringsfonds</t>
  </si>
  <si>
    <t>SAL</t>
  </si>
  <si>
    <t>REIS</t>
  </si>
  <si>
    <t>PENS</t>
  </si>
  <si>
    <t>GROEP</t>
  </si>
  <si>
    <t>MED</t>
  </si>
  <si>
    <t>WERKGEWERBYDRAES:</t>
  </si>
  <si>
    <t>GEBORE:</t>
  </si>
  <si>
    <t>Lid:  MEDIES Vitality</t>
  </si>
  <si>
    <t>WG:  PENSIOEN Bydrae</t>
  </si>
  <si>
    <t>Lid:  PENSIOEN Bydrae</t>
  </si>
  <si>
    <t>Lid:  MEDIES Premie</t>
  </si>
  <si>
    <t>VAS</t>
  </si>
  <si>
    <t>&lt;&lt; KIES</t>
  </si>
  <si>
    <t>Tik in &gt;&gt;</t>
  </si>
  <si>
    <t>&lt;&lt; Tik in</t>
  </si>
  <si>
    <t>INKOMSTE:</t>
  </si>
  <si>
    <t>TOT WG</t>
  </si>
  <si>
    <t>*</t>
  </si>
  <si>
    <t>*TOTALE KOSTE AAN WERKGEWER (Ink'e + WG-bydraes):</t>
  </si>
  <si>
    <t>WERKENEMER (LID) BYDRAES (uitg ander aftrekkings):</t>
  </si>
  <si>
    <t>Nota</t>
  </si>
  <si>
    <t>MVIT</t>
  </si>
  <si>
    <t>MADM</t>
  </si>
  <si>
    <t>MEDIES:</t>
  </si>
  <si>
    <t>Vitality (indien van toepassing)</t>
  </si>
  <si>
    <t>Admed versekering</t>
  </si>
  <si>
    <r>
      <t>Premie alleenlik (</t>
    </r>
    <r>
      <rPr>
        <i/>
        <sz val="11"/>
        <rFont val="Calibri"/>
        <family val="2"/>
        <scheme val="minor"/>
      </rPr>
      <t>sonder Admed en Vitality</t>
    </r>
    <r>
      <rPr>
        <sz val="11"/>
        <rFont val="Calibri"/>
        <family val="2"/>
        <scheme val="minor"/>
      </rPr>
      <t>)</t>
    </r>
  </si>
  <si>
    <t>Aantal lede (hooflid ingesluit) op medies</t>
  </si>
  <si>
    <t>Premie- en lidinligting beskikbaar by mediese kantoor</t>
  </si>
  <si>
    <t>BELASTINGBEREKENING p.m.</t>
  </si>
  <si>
    <t>BELASBARE INKOMSTE</t>
  </si>
  <si>
    <t>GRATIS HUIS</t>
  </si>
  <si>
    <t>WERKSMOTOR VIR PRIVAAT &amp; WERK</t>
  </si>
  <si>
    <t>Berekening</t>
  </si>
  <si>
    <t>IRP5-kode</t>
  </si>
  <si>
    <r>
      <rPr>
        <b/>
        <i/>
        <sz val="11"/>
        <color theme="1"/>
        <rFont val="Calibri"/>
        <family val="2"/>
        <scheme val="minor"/>
      </rPr>
      <t xml:space="preserve">Plus:  </t>
    </r>
    <r>
      <rPr>
        <b/>
        <sz val="11"/>
        <color theme="1"/>
        <rFont val="Calibri"/>
        <family val="2"/>
        <scheme val="minor"/>
      </rPr>
      <t>BYVOORDELE</t>
    </r>
  </si>
  <si>
    <r>
      <rPr>
        <b/>
        <i/>
        <sz val="11"/>
        <color theme="1"/>
        <rFont val="Calibri"/>
        <family val="2"/>
        <scheme val="minor"/>
      </rPr>
      <t xml:space="preserve">Plus:  </t>
    </r>
    <r>
      <rPr>
        <b/>
        <sz val="11"/>
        <color theme="1"/>
        <rFont val="Calibri"/>
        <family val="2"/>
        <scheme val="minor"/>
      </rPr>
      <t>BYVOORDELE:  WERKGEWERBYDRAES</t>
    </r>
  </si>
  <si>
    <r>
      <t xml:space="preserve">Min:  </t>
    </r>
    <r>
      <rPr>
        <b/>
        <sz val="11"/>
        <color theme="1"/>
        <rFont val="Calibri"/>
        <family val="2"/>
        <scheme val="minor"/>
      </rPr>
      <t>BELASTINGAFTREKBARE ITEMS</t>
    </r>
  </si>
  <si>
    <t>Primêre Syfers</t>
  </si>
  <si>
    <t>x12</t>
  </si>
  <si>
    <t>BELASBARE BEDRAG p.j.:</t>
  </si>
  <si>
    <t>BELASBARE BEDRAG p.m:</t>
  </si>
  <si>
    <t>GEBRUIK VAN BELASTINGTABEL</t>
  </si>
  <si>
    <t>Pas dit in "bracket" van belastingtabel - en gebruik daardie lyntjie vir verdere berekenings</t>
  </si>
  <si>
    <t>Vaste bedrag per "bracket"</t>
  </si>
  <si>
    <t>Plus:  xx % volgens "bracket" x (Bedrag oor …)</t>
  </si>
  <si>
    <t>Min: Korting volgens tabel</t>
  </si>
  <si>
    <t>= Belasting pj</t>
  </si>
  <si>
    <t>Na belasting bereken is, word die KREDIETE afgetrek van belasting self</t>
  </si>
  <si>
    <t>Bereken belasting krediete (kortings)</t>
  </si>
  <si>
    <t>p.m.</t>
  </si>
  <si>
    <r>
      <t xml:space="preserve">Indien die </t>
    </r>
    <r>
      <rPr>
        <u/>
        <sz val="11"/>
        <color theme="1"/>
        <rFont val="Calibri"/>
        <family val="2"/>
        <scheme val="minor"/>
      </rPr>
      <t>belasting</t>
    </r>
    <r>
      <rPr>
        <sz val="11"/>
        <color theme="1"/>
        <rFont val="Calibri"/>
        <family val="2"/>
        <scheme val="minor"/>
      </rPr>
      <t xml:space="preserve"> van die persoon (voor hierdie korting in ag geneem word), </t>
    </r>
    <r>
      <rPr>
        <u/>
        <sz val="11"/>
        <color theme="1"/>
        <rFont val="Calibri"/>
        <family val="2"/>
        <scheme val="minor"/>
      </rPr>
      <t>minder</t>
    </r>
    <r>
      <rPr>
        <sz val="11"/>
        <color theme="1"/>
        <rFont val="Calibri"/>
        <family val="2"/>
        <scheme val="minor"/>
      </rPr>
      <t xml:space="preserve"> is as die mediese korting</t>
    </r>
  </si>
  <si>
    <t>vir die maand, word die oorskot oorgedra na die volgende maand.</t>
  </si>
  <si>
    <t>[Die persoon se belasting behoort dan R0-00 te wees vir die maand.]</t>
  </si>
  <si>
    <t>Elke maand se oorskot word by die vorige oorskotte getel en gebruik teen belasting, indien nodig.</t>
  </si>
  <si>
    <t>Indien die totale oorskot vir die belastingjaar nie opgebruik is, nie, verval dit.  Dit dra nie oor na die volgende belastingjaar nie.</t>
  </si>
  <si>
    <t>VASTE BEDRAG</t>
  </si>
  <si>
    <t>PERSENTASIE</t>
  </si>
  <si>
    <t>van elke Rand</t>
  </si>
  <si>
    <t>van die bedrag bo</t>
  </si>
  <si>
    <t>Primêre korting</t>
  </si>
  <si>
    <t>Belasting drempel vir onder 65</t>
  </si>
  <si>
    <t>Belasting drempel vir 65 en op</t>
  </si>
  <si>
    <t>Belasting drempel vir 75 en op</t>
  </si>
  <si>
    <t>Hooflid</t>
  </si>
  <si>
    <t>p.m. vir elk</t>
  </si>
  <si>
    <t>Eerste afhanklike</t>
  </si>
  <si>
    <t xml:space="preserve">Elke add'e afhanklike </t>
  </si>
  <si>
    <t>-</t>
  </si>
  <si>
    <t>&gt;</t>
  </si>
  <si>
    <t>Totale belasbare bedrag vir jaar</t>
  </si>
  <si>
    <t>[Bedrag oor = Bedrag gegee na % in "bracket" minus Rxxx a]</t>
  </si>
  <si>
    <t>BELASTING VIR JAAR volgens tabel:</t>
  </si>
  <si>
    <t>MEDIESE BELASTINGKREDIETE vir jaar:</t>
  </si>
  <si>
    <t>[Belasbare inkomste beteken die syfers wat gebruik word om by die LBS uit te kom.  Dit vorm nie deel van werklike inkomste nie.]</t>
  </si>
  <si>
    <t>Betekenis van die voordeel:</t>
  </si>
  <si>
    <t>Formule vir die byvoordeelbedrag</t>
  </si>
  <si>
    <t>(A - B) x C/100 x D/12</t>
  </si>
  <si>
    <t>A =</t>
  </si>
  <si>
    <t>B =</t>
  </si>
  <si>
    <t>C =</t>
  </si>
  <si>
    <t>17:</t>
  </si>
  <si>
    <t>minder as vier vertrekke</t>
  </si>
  <si>
    <t>18:</t>
  </si>
  <si>
    <r>
      <t xml:space="preserve">of sodanige huisvesting </t>
    </r>
    <r>
      <rPr>
        <u/>
        <sz val="11"/>
        <color indexed="8"/>
        <rFont val="Calibri"/>
        <family val="2"/>
      </rPr>
      <t xml:space="preserve">gemeubileerd </t>
    </r>
    <r>
      <rPr>
        <sz val="11"/>
        <color theme="1"/>
        <rFont val="Calibri"/>
        <family val="2"/>
        <scheme val="minor"/>
      </rPr>
      <t xml:space="preserve">is maar </t>
    </r>
    <r>
      <rPr>
        <u/>
        <sz val="11"/>
        <color indexed="8"/>
        <rFont val="Calibri"/>
        <family val="2"/>
      </rPr>
      <t xml:space="preserve">geen krag/brandstof word deur ddie werkgewer veskaf </t>
    </r>
    <r>
      <rPr>
        <sz val="11"/>
        <color theme="1"/>
        <rFont val="Calibri"/>
        <family val="2"/>
        <scheme val="minor"/>
      </rPr>
      <t>nie. Of</t>
    </r>
  </si>
  <si>
    <t>19:</t>
  </si>
  <si>
    <t>D =</t>
  </si>
  <si>
    <t>aantal maande gedurende die jaar van aanslag waarop die werknemer op sodanige huisvesting geregtig was/is.</t>
  </si>
  <si>
    <t>[Onthou hierdie syfer verteenwoordig die jaarsyfer- vir maand se belasting, bereken maandsyfer]</t>
  </si>
  <si>
    <t>n Belasbare byvoordeel onstaan wanneer 'n werknemer die reg van gebruik van die werskmotor toegestaan word.</t>
  </si>
  <si>
    <t>Privaatgebruik sluit reis tussen die werknemer se huisvesting en sy werk, sowel as ander private gebruik in.</t>
  </si>
  <si>
    <t>of</t>
  </si>
  <si>
    <t>alle onderhoud van die motorvoertuig te onderskryf.  Dit sluit nie die kostes  vir vloeistowwe, bande of misbruik van die voertuig in nie.</t>
  </si>
  <si>
    <t>Die verpligting is vir ten minste 3 jaar en 60 000 km vanaf die datum van die onderskrywing en mag getermineer word wanneer die</t>
  </si>
  <si>
    <t>verpligtinge nagekom is.</t>
  </si>
  <si>
    <t>die voertuig aangeskaf het of begin gebruik het, tot die datum wanneer die werknemer gebruik van die voertuig verleen is.</t>
  </si>
  <si>
    <t>verdere waardevermindering nie.]</t>
  </si>
  <si>
    <t>[Dit beteken dat 'n werknemer wat die gebruik van die voertuig gehad het, toe gestop het om dit te gebruik en weer later dit</t>
  </si>
  <si>
    <t xml:space="preserve">gebruik het, moet belas word op die 'waarde' van die voertuig wat die eerste keer bereken was en dit is dan nie meer geregtig op </t>
  </si>
  <si>
    <r>
      <t>Die BYVOORDEEL WAARDE</t>
    </r>
    <r>
      <rPr>
        <sz val="11"/>
        <color theme="1"/>
        <rFont val="Calibri"/>
        <family val="2"/>
        <scheme val="minor"/>
      </rPr>
      <t xml:space="preserve"> op die privaatgebruik van die motorvoertuig vir elke maand of deel van 'n maand waarop die </t>
    </r>
  </si>
  <si>
    <t>werknemer geregtig was tot privaatgebruik, is:</t>
  </si>
  <si>
    <r>
      <rPr>
        <u/>
        <sz val="11"/>
        <color theme="1"/>
        <rFont val="Calibri"/>
        <family val="2"/>
        <scheme val="minor"/>
      </rPr>
      <t>onderhoudsplan</t>
    </r>
    <r>
      <rPr>
        <sz val="11"/>
        <color theme="1"/>
        <rFont val="Calibri"/>
        <family val="2"/>
        <scheme val="minor"/>
      </rPr>
      <t xml:space="preserve"> indien die voertuig d.m.v. 'n verkoopsooreenkoms bekom was;</t>
    </r>
  </si>
  <si>
    <r>
      <t xml:space="preserve">Die handelsmarkwaarde, maar </t>
    </r>
    <r>
      <rPr>
        <u/>
        <sz val="11"/>
        <color theme="1"/>
        <rFont val="Calibri"/>
        <family val="2"/>
        <scheme val="minor"/>
      </rPr>
      <t>INGESLUIT: BTW en die waarde van enige  onderhoudsplan</t>
    </r>
    <r>
      <rPr>
        <sz val="11"/>
        <color theme="1"/>
        <rFont val="Calibri"/>
        <family val="2"/>
        <scheme val="minor"/>
      </rPr>
      <t>, soos op die datum wanneer die werknemer</t>
    </r>
  </si>
  <si>
    <t>die eerste keer gebruik van die voertuig verleen is, indien die voertuig d.m.v. 'n verkoopsooreenkoms bekom was;</t>
  </si>
  <si>
    <t>wanneer die werknemer die eerste keer gebruik van die voertuig verleen is.</t>
  </si>
  <si>
    <r>
      <t xml:space="preserve">In enige ander geval, die markwaarde van die voertuig, </t>
    </r>
    <r>
      <rPr>
        <u/>
        <sz val="11"/>
        <color theme="1"/>
        <rFont val="Calibri"/>
        <family val="2"/>
        <scheme val="minor"/>
      </rPr>
      <t>INGESLUIT: BTW en die waarde van enige onderhoudsplan</t>
    </r>
    <r>
      <rPr>
        <sz val="11"/>
        <color theme="1"/>
        <rFont val="Calibri"/>
        <family val="2"/>
        <scheme val="minor"/>
      </rPr>
      <t>, soos op die datum</t>
    </r>
  </si>
  <si>
    <r>
      <t>Onderhoudsplan:</t>
    </r>
    <r>
      <rPr>
        <sz val="11"/>
        <color theme="1"/>
        <rFont val="Calibri"/>
        <family val="2"/>
        <scheme val="minor"/>
      </rPr>
      <t xml:space="preserve">  Dit word gedefinieer as 'n kontraktuele verpligting wat deur die verskaffer onderneem word om die kostes van </t>
    </r>
  </si>
  <si>
    <r>
      <t>Waardevermindering</t>
    </r>
    <r>
      <rPr>
        <sz val="11"/>
        <color theme="1"/>
        <rFont val="Calibri"/>
        <family val="2"/>
        <scheme val="minor"/>
      </rPr>
      <t xml:space="preserve"> van 15% word toegelaan vir elke afgehandelde 12 maande periode vanaf die datum wanneer die werkgewer </t>
    </r>
  </si>
  <si>
    <t>DIE 'WAARDE' VAN DIE MOTORVOERTUIG:</t>
  </si>
  <si>
    <t>3.5% van die 'waarde' van die motorvoertuig</t>
  </si>
  <si>
    <t>3.25% van die 'waarde' indien die 'waarde' die onderhoudsplan insluit.</t>
  </si>
  <si>
    <t xml:space="preserve">Vir 'n individue om 'n vermindering in die byvoordeelwaarde te eis t.o.v. lisensiegelde, versekering, onderhoud en brandstof, is dit nodig om 'n </t>
  </si>
  <si>
    <t>ritboek (logbook) by te hou.  Hierdie eise kan slegs met individuele aanslag gedoen word.</t>
  </si>
  <si>
    <t>GEEN WAARDE word geplaas op privaatgebruik van die werkgewer se voertuig indien:</t>
  </si>
  <si>
    <t>word nie normaalwerg by of naby die huisvestig van die werknemer gestoor nie.</t>
  </si>
  <si>
    <t>Die voertuig 'n poel-motor is vir gebruik deur alle werknemers in die algemeen en die privaatgebruik is ongereeld of toevallig en die voertuig</t>
  </si>
  <si>
    <t>Die werknemer se pligte vereis dat die voertuig gereeld buite normale werksure gebruik word en die privaatgebruik is ongereeld of toevallig</t>
  </si>
  <si>
    <t>tot die besigheidsgebruik.</t>
  </si>
  <si>
    <t>Residensiële huisvesting deur 'n werkgewer aan 'n werknemer verskaf teen'n lae of geen huur nie,sal geag word 'n belasbare voordeel te wees.</t>
  </si>
  <si>
    <r>
      <t xml:space="preserve">REG VAN GEBRUIK VAN MOTOR:  WERKSMOTOR OOK VIR PRIVAATGEBRUIK </t>
    </r>
    <r>
      <rPr>
        <sz val="14"/>
        <color theme="1"/>
        <rFont val="Calibri"/>
        <family val="2"/>
        <scheme val="minor"/>
      </rPr>
      <t xml:space="preserve"> (word by belasbare inkomste gevoeg)</t>
    </r>
  </si>
  <si>
    <r>
      <t xml:space="preserve">indien die eindom uit 'n huis/woonstel/wooneenheid van minstens vier vertrekke bestaan en die huisvesting </t>
    </r>
    <r>
      <rPr>
        <u/>
        <sz val="11"/>
        <color indexed="8"/>
        <rFont val="Calibri"/>
        <family val="2"/>
      </rPr>
      <t/>
    </r>
  </si>
  <si>
    <r>
      <t xml:space="preserve">ongemeubileerd is en </t>
    </r>
    <r>
      <rPr>
        <u/>
        <sz val="11"/>
        <color indexed="8"/>
        <rFont val="Calibri"/>
        <family val="2"/>
      </rPr>
      <t xml:space="preserve">krag/brandstof deur die werkgewer verskaf </t>
    </r>
    <r>
      <rPr>
        <sz val="11"/>
        <color theme="1"/>
        <rFont val="Calibri"/>
        <family val="2"/>
        <scheme val="minor"/>
      </rPr>
      <t xml:space="preserve">word, </t>
    </r>
  </si>
  <si>
    <t xml:space="preserve">waar die huisvesting uit 'n huis/woonstel/wooneenheid van minstens vier vertrekke bestaan en sodanige </t>
  </si>
  <si>
    <r>
      <rPr>
        <sz val="11"/>
        <color indexed="8"/>
        <rFont val="Calibri"/>
        <family val="2"/>
      </rPr>
      <t xml:space="preserve">huisvesting is </t>
    </r>
    <r>
      <rPr>
        <u/>
        <sz val="11"/>
        <color indexed="8"/>
        <rFont val="Calibri"/>
        <family val="2"/>
      </rPr>
      <t>gemeubileerd EN die werkgewer voorsien krag/brandstof</t>
    </r>
    <r>
      <rPr>
        <sz val="11"/>
        <color theme="1"/>
        <rFont val="Calibri"/>
        <family val="2"/>
        <scheme val="minor"/>
      </rPr>
      <t>.</t>
    </r>
  </si>
  <si>
    <r>
      <t xml:space="preserve">Tik in </t>
    </r>
    <r>
      <rPr>
        <sz val="11"/>
        <color rgb="FF00B0F0"/>
        <rFont val="Wingdings"/>
        <charset val="2"/>
      </rPr>
      <t>â</t>
    </r>
  </si>
  <si>
    <t xml:space="preserve">A = </t>
  </si>
  <si>
    <t xml:space="preserve">B = </t>
  </si>
  <si>
    <t xml:space="preserve">C = </t>
  </si>
  <si>
    <r>
      <t>RESIDENSI</t>
    </r>
    <r>
      <rPr>
        <b/>
        <sz val="14"/>
        <color theme="1"/>
        <rFont val="Calibri"/>
        <family val="2"/>
      </rPr>
      <t xml:space="preserve">ËLE </t>
    </r>
    <r>
      <rPr>
        <b/>
        <sz val="14"/>
        <color theme="1"/>
        <rFont val="Calibri"/>
        <family val="2"/>
        <scheme val="minor"/>
      </rPr>
      <t>HUISVESTING:  AS GEMEENTE HUIS VOORSIEN = BYVOORDEEL (word by belasbare inkomste gevoeg)</t>
    </r>
  </si>
  <si>
    <t>Kies % (links)</t>
  </si>
  <si>
    <t xml:space="preserve">D = </t>
  </si>
  <si>
    <t>Aantal mnd'e vir j</t>
  </si>
  <si>
    <t>Jaarsyfer</t>
  </si>
  <si>
    <t>Maandsyfer</t>
  </si>
  <si>
    <t>Waarde:</t>
  </si>
  <si>
    <r>
      <t xml:space="preserve">Die koste van die voertuig vir die werkgewer, </t>
    </r>
    <r>
      <rPr>
        <u/>
        <sz val="11"/>
        <color theme="1"/>
        <rFont val="Calibri"/>
        <family val="2"/>
        <scheme val="minor"/>
      </rPr>
      <t>uitgesluit</t>
    </r>
    <r>
      <rPr>
        <sz val="11"/>
        <color theme="1"/>
        <rFont val="Calibri"/>
        <family val="2"/>
        <scheme val="minor"/>
      </rPr>
      <t xml:space="preserve"> finansieringskoste en rente, maar I</t>
    </r>
    <r>
      <rPr>
        <u/>
        <sz val="11"/>
        <color theme="1"/>
        <rFont val="Calibri"/>
        <family val="2"/>
        <scheme val="minor"/>
      </rPr>
      <t xml:space="preserve">NGESLUIT: BTW en die waarde van enige </t>
    </r>
  </si>
  <si>
    <r>
      <t xml:space="preserve">MINUS enige uitgawes wat deur die werknemer onderneem word m.b.t. die voertuig, </t>
    </r>
    <r>
      <rPr>
        <i/>
        <u/>
        <sz val="11"/>
        <color theme="1"/>
        <rFont val="Calibri"/>
        <family val="2"/>
        <scheme val="minor"/>
      </rPr>
      <t/>
    </r>
  </si>
  <si>
    <r>
      <rPr>
        <u/>
        <sz val="11"/>
        <color theme="1"/>
        <rFont val="Calibri"/>
        <family val="2"/>
        <scheme val="minor"/>
      </rPr>
      <t>uitgesluit:</t>
    </r>
    <r>
      <rPr>
        <sz val="11"/>
        <color theme="1"/>
        <rFont val="Calibri"/>
        <family val="2"/>
        <scheme val="minor"/>
      </rPr>
      <t xml:space="preserve"> lisensiegelde, versekering, onderhoud en brandstof</t>
    </r>
  </si>
  <si>
    <t>=</t>
  </si>
  <si>
    <t>Uitgawes p.m.</t>
  </si>
  <si>
    <t>[Sien links]</t>
  </si>
  <si>
    <t>= BELATING VIR JAAR na mediese krediete</t>
  </si>
  <si>
    <t>= BELASTING BETAALBAAR P.M.</t>
  </si>
  <si>
    <t>Aantal lede</t>
  </si>
  <si>
    <t>p.j.</t>
  </si>
  <si>
    <r>
      <rPr>
        <sz val="11"/>
        <color theme="1"/>
        <rFont val="Calibri"/>
        <family val="2"/>
      </rPr>
      <t>÷</t>
    </r>
    <r>
      <rPr>
        <sz val="11"/>
        <color theme="1"/>
        <rFont val="Calibri"/>
        <family val="2"/>
        <scheme val="minor"/>
      </rPr>
      <t xml:space="preserve"> 12</t>
    </r>
  </si>
  <si>
    <t>Voorsien:</t>
  </si>
  <si>
    <t>1. Ongevalleversekering</t>
  </si>
  <si>
    <t>2. Verlofuitbetaling</t>
  </si>
  <si>
    <t>WERKGEWERBYDRAES</t>
  </si>
  <si>
    <t>ONTVANGSTES</t>
  </si>
  <si>
    <t>AFTREKKINGS</t>
  </si>
  <si>
    <t>Belasting (LBS)</t>
  </si>
  <si>
    <t>WVF</t>
  </si>
  <si>
    <t>NETTO SALARIS:</t>
  </si>
  <si>
    <t>Totale Ontvangstes</t>
  </si>
  <si>
    <t>Totale Werkgewerbydraes</t>
  </si>
  <si>
    <t>Totale Aftrekkings</t>
  </si>
  <si>
    <t>Bevat formules</t>
  </si>
  <si>
    <t>R-bedrag</t>
  </si>
  <si>
    <r>
      <t xml:space="preserve">Beskrywing </t>
    </r>
    <r>
      <rPr>
        <sz val="11"/>
        <color theme="1"/>
        <rFont val="Calibri"/>
        <family val="2"/>
        <scheme val="minor"/>
      </rPr>
      <t>(kode beskrywings in Engels)</t>
    </r>
  </si>
  <si>
    <t>Kode</t>
  </si>
  <si>
    <t>INCOME RECEIVED</t>
  </si>
  <si>
    <t>Income (PAYE)</t>
  </si>
  <si>
    <t>Salaris</t>
  </si>
  <si>
    <t>Huistoelaag</t>
  </si>
  <si>
    <t>Annual Payment (PAYE)</t>
  </si>
  <si>
    <t>Jaarlikse bonus</t>
  </si>
  <si>
    <t>Reis</t>
  </si>
  <si>
    <t>Reimbursive Travel Allowance (Excl)</t>
  </si>
  <si>
    <t>Reis (reïmbursive)</t>
  </si>
  <si>
    <t>Other Allowances (PAYE)</t>
  </si>
  <si>
    <t>Ander toelae (bv tel; water en ligte)</t>
  </si>
  <si>
    <t>General Fringe Benefits</t>
  </si>
  <si>
    <t>Byvoordeel</t>
  </si>
  <si>
    <t>Admedgap (Werkgewer)</t>
  </si>
  <si>
    <t>Vitality (Werkgewer)</t>
  </si>
  <si>
    <t>Employee's debt</t>
  </si>
  <si>
    <t>Company Contribution Medical Aid (PAYE)</t>
  </si>
  <si>
    <t>Mediese premies (Werkgewer)</t>
  </si>
  <si>
    <t>Totale Inkomste en byvoordele</t>
  </si>
  <si>
    <t>Gross Non-Taxable Income</t>
  </si>
  <si>
    <t>DEDUCTIONS / CONTRIBUTIONS</t>
  </si>
  <si>
    <t>Medical Aid Contributions</t>
  </si>
  <si>
    <t>Mediese premies (Werkgewer</t>
  </si>
  <si>
    <t xml:space="preserve">     EN werknemer)</t>
  </si>
  <si>
    <t>Employer's Medical Aid Contribution</t>
  </si>
  <si>
    <t>Mediese Premies (Werkgewer)</t>
  </si>
  <si>
    <t>Total Deductions &amp; Contributions</t>
  </si>
  <si>
    <t>TAX WITHHELD</t>
  </si>
  <si>
    <t>PAYE</t>
  </si>
  <si>
    <t>LBS (Sluit nou SITE ook in)</t>
  </si>
  <si>
    <t>UIF Employee and Employer Contributions</t>
  </si>
  <si>
    <t xml:space="preserve">WVF  (Werkgewer </t>
  </si>
  <si>
    <t xml:space="preserve">    EN Werknemer)</t>
  </si>
  <si>
    <t>Total Tax, SDL and UIF</t>
  </si>
  <si>
    <t>Medical Scheme Tax Credit</t>
  </si>
  <si>
    <t>Right of use of motor vehicle</t>
  </si>
  <si>
    <t>Free or cheap accommodation</t>
  </si>
  <si>
    <t>Gratis huisvesting (pastorie)</t>
  </si>
  <si>
    <t>Werksmotor vir Privaat &amp; Werk</t>
  </si>
  <si>
    <t>4141 x 2</t>
  </si>
  <si>
    <t>x 0.4% van verdienste (beperk tot perk wat jaarliks verander)</t>
  </si>
  <si>
    <t>[Sonder WVF]</t>
  </si>
  <si>
    <t>[Met WVF]</t>
  </si>
  <si>
    <t>[R kortings x persone]</t>
  </si>
  <si>
    <r>
      <t>Rxxxxx  korting = 20../.. (hierdie syfer is altyd gelyk aan die huidige jaar se Primêre belasting</t>
    </r>
    <r>
      <rPr>
        <u/>
        <sz val="11"/>
        <color indexed="8"/>
        <rFont val="Calibri"/>
        <family val="2"/>
      </rPr>
      <t>drempel/"threshold"</t>
    </r>
    <r>
      <rPr>
        <sz val="11"/>
        <color indexed="8"/>
        <rFont val="Calibri"/>
        <family val="2"/>
      </rPr>
      <t>)</t>
    </r>
  </si>
  <si>
    <t>ß</t>
  </si>
  <si>
    <t>Kies opsie of tik in waarde langsaan</t>
  </si>
  <si>
    <t>Lid:  MEDIES Admed</t>
  </si>
  <si>
    <t>&lt;&lt; Tik in &gt;&gt;</t>
  </si>
  <si>
    <t>TOELAE</t>
  </si>
  <si>
    <t>HUISTOELAE</t>
  </si>
  <si>
    <t>WVF perk p.m. [Werkgewer en Werknemer elk]</t>
  </si>
  <si>
    <t>Lid:  PENSIOEN Addisionele Bydrae</t>
  </si>
  <si>
    <t>Ouderdom vir Ongeskiktheidsvoordeel</t>
  </si>
  <si>
    <t>WG:  VOORSORG Bydrae</t>
  </si>
  <si>
    <r>
      <t xml:space="preserve">WG:  PENSIOEN/VOORS </t>
    </r>
    <r>
      <rPr>
        <sz val="10"/>
        <color theme="1"/>
        <rFont val="Calibri"/>
        <family val="2"/>
        <scheme val="minor"/>
      </rPr>
      <t>Sterftedekking/groepvers.</t>
    </r>
  </si>
  <si>
    <r>
      <t xml:space="preserve">Lid:  PENSIOEN/VOORS </t>
    </r>
    <r>
      <rPr>
        <sz val="10"/>
        <color theme="1"/>
        <rFont val="Calibri"/>
        <family val="2"/>
        <scheme val="minor"/>
      </rPr>
      <t>Sterftedekking/groepvers.</t>
    </r>
  </si>
  <si>
    <t>Lid:  VOORSORG Bydrae</t>
  </si>
  <si>
    <t>VOORS</t>
  </si>
  <si>
    <t>Lid:  VOORSORG Addisionele Bydrae</t>
  </si>
  <si>
    <r>
      <t xml:space="preserve">Pakket / 21.75 </t>
    </r>
    <r>
      <rPr>
        <sz val="8"/>
        <color rgb="FFFF0000"/>
        <rFont val="Calibri"/>
        <family val="2"/>
        <scheme val="minor"/>
      </rPr>
      <t>(gemiddelde werksdae pm)</t>
    </r>
    <r>
      <rPr>
        <sz val="11"/>
        <color rgb="FFFF0000"/>
        <rFont val="Calibri"/>
        <family val="2"/>
        <scheme val="minor"/>
      </rPr>
      <t xml:space="preserve"> x verlofkrediet [Uitbetaling beperk tot beleid]</t>
    </r>
  </si>
  <si>
    <t>LW:  Volle bedrag (primêr) vir IRP5 doeleindes</t>
  </si>
  <si>
    <t>Verhoog gewoonlik Januarie elke jaar</t>
  </si>
  <si>
    <t>WG vaste bydraes</t>
  </si>
  <si>
    <t>WG:  MEDIES Premie</t>
  </si>
  <si>
    <t>WG:  MEDIES Admed</t>
  </si>
  <si>
    <t>WG:  MEDIES Vitality</t>
  </si>
  <si>
    <r>
      <t>Volle bedrae vir oorbt aan mediese fonds</t>
    </r>
    <r>
      <rPr>
        <sz val="9"/>
        <color rgb="FF0070C0"/>
        <rFont val="Wingdings 3"/>
        <family val="1"/>
        <charset val="2"/>
      </rPr>
      <t>?</t>
    </r>
  </si>
  <si>
    <t>NAAM:</t>
  </si>
  <si>
    <t>BONUS</t>
  </si>
  <si>
    <r>
      <t xml:space="preserve">pm. [Bonus "1xpj" = Basiese salaris </t>
    </r>
    <r>
      <rPr>
        <sz val="10"/>
        <color theme="1"/>
        <rFont val="Times New Roman"/>
        <family val="1"/>
      </rPr>
      <t>÷</t>
    </r>
    <r>
      <rPr>
        <sz val="10"/>
        <color theme="1"/>
        <rFont val="Calibri"/>
        <family val="2"/>
        <scheme val="minor"/>
      </rPr>
      <t xml:space="preserve"> 12 (belas pm)]</t>
    </r>
  </si>
  <si>
    <t>= pm vir payslip</t>
  </si>
  <si>
    <t>BASIESE SALARIS</t>
  </si>
  <si>
    <r>
      <t>BON/13</t>
    </r>
    <r>
      <rPr>
        <vertAlign val="superscript"/>
        <sz val="11"/>
        <color theme="1"/>
        <rFont val="Calibri"/>
        <family val="2"/>
        <scheme val="minor"/>
      </rPr>
      <t xml:space="preserve">e </t>
    </r>
    <r>
      <rPr>
        <sz val="11"/>
        <color theme="1"/>
        <rFont val="Calibri"/>
        <family val="2"/>
        <scheme val="minor"/>
      </rPr>
      <t>tjek</t>
    </r>
  </si>
  <si>
    <t>WERKGEWER:</t>
  </si>
  <si>
    <t>Werkgewer en Werknemer ELK</t>
  </si>
  <si>
    <t>ANN</t>
  </si>
  <si>
    <r>
      <t>Lid:  ANNU</t>
    </r>
    <r>
      <rPr>
        <sz val="11"/>
        <color theme="1"/>
        <rFont val="Calibri"/>
        <family val="2"/>
      </rPr>
      <t>ÏTEIT</t>
    </r>
  </si>
  <si>
    <t>WERKNEMER:  Ander 'EIE' aftrekkings (slegs vir Payslip en/of oorbt)</t>
  </si>
  <si>
    <t>EIE1</t>
  </si>
  <si>
    <t>EIE2</t>
  </si>
  <si>
    <t>EIE3</t>
  </si>
  <si>
    <t>Ander: x</t>
  </si>
  <si>
    <t>AFTREEFONDS:</t>
  </si>
  <si>
    <t>Ongeskiktheidsdekking</t>
  </si>
  <si>
    <t>Risikodekking</t>
  </si>
  <si>
    <t>Ander</t>
  </si>
  <si>
    <t>Bedrag pm</t>
  </si>
  <si>
    <r>
      <t xml:space="preserve">Nie-goedgekeurde polisse </t>
    </r>
    <r>
      <rPr>
        <u/>
        <sz val="11"/>
        <color theme="1"/>
        <rFont val="Calibri"/>
        <family val="2"/>
        <scheme val="minor"/>
      </rPr>
      <t>deel van</t>
    </r>
    <r>
      <rPr>
        <sz val="11"/>
        <color theme="1"/>
        <rFont val="Calibri"/>
        <family val="2"/>
        <scheme val="minor"/>
      </rPr>
      <t xml:space="preserve"> (ingesluit by) Werkgewerbydrae tot Aftreefonds</t>
    </r>
  </si>
  <si>
    <t>WG:  Nie goedgekeurde 'pensioen' polisse</t>
  </si>
  <si>
    <t>3817 + 4472</t>
  </si>
  <si>
    <t>3825 + 4473</t>
  </si>
  <si>
    <t>Slegs goedgekeurde/werklike pensioenfondsbydrae deel (WG min nie-goedgekeurde polisse)</t>
  </si>
  <si>
    <t>3810 + 4474</t>
  </si>
  <si>
    <t>= Bruto besoldiging (belasbare inkomste voor belastingaftrekbare aftrekkings)</t>
  </si>
  <si>
    <t>Toon primêre syfers by IRP5</t>
  </si>
  <si>
    <t>Belastingaftrekbare limiet</t>
  </si>
  <si>
    <t>Totale Aftreefondsbydraes</t>
  </si>
  <si>
    <t>Bruto besoldiging x limit %</t>
  </si>
  <si>
    <t>WERKNEMER:</t>
  </si>
  <si>
    <t>PERIODE:</t>
  </si>
  <si>
    <t>ANDER/ADDISIONELE INLIGTING/NOTA</t>
  </si>
  <si>
    <t>BONUS JAARLIKS (reeds pm belas)</t>
  </si>
  <si>
    <t>TOTALE KOSTE VIR WG (met WVF)</t>
  </si>
  <si>
    <t>VERLOF: Gewone</t>
  </si>
  <si>
    <t>VERLOF: Siekte</t>
  </si>
  <si>
    <t>ALLOKASIE pj</t>
  </si>
  <si>
    <t>ALLOKASIE per 3 jaar siklus</t>
  </si>
  <si>
    <t>Verlofbeginsaldo o/d v vorige maand</t>
  </si>
  <si>
    <t>[Verlof word vooruit ontvang vir 3 jaar siklus]</t>
  </si>
  <si>
    <t>+ Verlof pm (pro-rata allokasie)</t>
  </si>
  <si>
    <t>-  Verlof geneem</t>
  </si>
  <si>
    <t>= Verlof beskikbaar (einde van maand)</t>
  </si>
  <si>
    <t>Beplande verlof (vooruit)</t>
  </si>
  <si>
    <t>Einde van 3 jaar siklus (datum):</t>
  </si>
  <si>
    <t>WG:  PENSIOEN/VOORS Sterftedekking/groepvers.</t>
  </si>
  <si>
    <t>[Uitgehaal by WG pensioenbydrae]</t>
  </si>
  <si>
    <t>Fringe Benefit iro Employer-paid contribution to a Pension Fund</t>
  </si>
  <si>
    <t>Fringe Benefit iro Employer-paid contribution to a Provident Fund</t>
  </si>
  <si>
    <t>Fringe Benefit iro Employer-paid contribution to a RA Fund</t>
  </si>
  <si>
    <t>Annuïteitsbydrae (Werkgewer)</t>
  </si>
  <si>
    <t>Pension Fund Contributions paid or 'deemed paid' by employee</t>
  </si>
  <si>
    <t>Pensioenbydraes (Werkgewer</t>
  </si>
  <si>
    <t xml:space="preserve">  EN Werknemer</t>
  </si>
  <si>
    <t>Provident Fund Contributions paid or 'deemed paid' by employee</t>
  </si>
  <si>
    <t>Voorsorgfonds bydraes (Werkgewer</t>
  </si>
  <si>
    <t>RA Fund Contributions paid or 'deemed paid' by employee</t>
  </si>
  <si>
    <t>Employer-paid Contribution to Pension Fund</t>
  </si>
  <si>
    <t>Pensioenbydraes (Werkgewer)</t>
  </si>
  <si>
    <t>Employer-paid Contribution to Provident Fund</t>
  </si>
  <si>
    <t>Voorsorgfondsbydraes (Werkgewer)</t>
  </si>
  <si>
    <t>Employer-paid Contribution to RA Fund</t>
  </si>
  <si>
    <t>Annuïteit bydraes (Werkgewer)</t>
  </si>
  <si>
    <t>Additional Medical Scheme Tax Credit</t>
  </si>
  <si>
    <t>[R kortings vlgs formule]</t>
  </si>
  <si>
    <t>[Persone 65 jaar+]</t>
  </si>
  <si>
    <t>Sterftedek/Groepversekering (Werkgewer)</t>
  </si>
  <si>
    <t>Volle besoldiging beteken:  die syfers wat gebruik word om by  LBS uit te kom VOOR toelaatbare aftrekkings, bv pensioen</t>
  </si>
  <si>
    <t>[Sien ook definisies onderaan die tabel]</t>
  </si>
  <si>
    <t>Volle besoldiging</t>
  </si>
  <si>
    <r>
      <t xml:space="preserve">van vorige </t>
    </r>
    <r>
      <rPr>
        <u/>
        <sz val="10"/>
        <rFont val="Calibri"/>
        <family val="2"/>
        <scheme val="minor"/>
      </rPr>
      <t>jaar</t>
    </r>
    <r>
      <rPr>
        <sz val="10"/>
        <rFont val="Calibri"/>
        <family val="2"/>
        <scheme val="minor"/>
      </rPr>
      <t xml:space="preserve"> / maand x 12</t>
    </r>
  </si>
  <si>
    <t xml:space="preserve">Volle besoldiging deur die werknemer gegenereer gedurende die jaar van aanslag wat die huidige jaar van aanslag waarin die </t>
  </si>
  <si>
    <r>
      <t xml:space="preserve">huisvestingvoordeel toegeken word, </t>
    </r>
    <r>
      <rPr>
        <u/>
        <sz val="11"/>
        <color theme="1"/>
        <rFont val="Calibri"/>
        <family val="2"/>
        <scheme val="minor"/>
      </rPr>
      <t>voorafgaan.</t>
    </r>
    <r>
      <rPr>
        <sz val="11"/>
        <color theme="1"/>
        <rFont val="Calibri"/>
        <family val="2"/>
        <scheme val="minor"/>
      </rPr>
      <t xml:space="preserve">     </t>
    </r>
    <r>
      <rPr>
        <i/>
        <sz val="11"/>
        <color theme="1"/>
        <rFont val="Calibri"/>
        <family val="2"/>
        <scheme val="minor"/>
      </rPr>
      <t>Of</t>
    </r>
    <r>
      <rPr>
        <sz val="11"/>
        <color theme="1"/>
        <rFont val="Calibri"/>
        <family val="2"/>
        <scheme val="minor"/>
      </rPr>
      <t xml:space="preserve">     Die eerste maand van indiensneming (geannualiseerd), indien die</t>
    </r>
  </si>
  <si>
    <t xml:space="preserve">persoon nie die vorige jaar in diens van die werkgewer was nie.  </t>
  </si>
  <si>
    <t>[Besoldiging soos per Vierde Skedule van die Inkomstebelastingwet]</t>
  </si>
  <si>
    <r>
      <t>Uitgesluit</t>
    </r>
    <r>
      <rPr>
        <i/>
        <sz val="11"/>
        <color theme="1"/>
        <rFont val="Calibri"/>
        <family val="2"/>
        <scheme val="minor"/>
      </rPr>
      <t xml:space="preserve">:  </t>
    </r>
  </si>
  <si>
    <r>
      <t xml:space="preserve">Tik in, indien ingesluit hierbo </t>
    </r>
    <r>
      <rPr>
        <sz val="11"/>
        <color rgb="FF00B0F0"/>
        <rFont val="Wingdings"/>
        <charset val="2"/>
      </rPr>
      <t>æ</t>
    </r>
  </si>
  <si>
    <t>[jaarsyfer]</t>
  </si>
  <si>
    <t>Die belasbare voordeel vir huisvesting    [dit word afgetrek vir 'A' se berekening]</t>
  </si>
  <si>
    <t>huis byvoordeel</t>
  </si>
  <si>
    <t>Indien &lt; 0, dan R0</t>
  </si>
  <si>
    <t>1 xpj belas #3605</t>
  </si>
  <si>
    <t>IRP-5 KODES (GESELEKTEERD) - Opsomming van huidige maand:</t>
  </si>
  <si>
    <t>&lt; Tik in maand en jaar</t>
  </si>
  <si>
    <t>Bewaar of druk data en/of dra oor na IRP5 opsommingsblad vir 6 en 12 maande SARS rekonsiliasie</t>
  </si>
  <si>
    <t>[Nie van toepassing, reeds by gewone inkomste belas pm]</t>
  </si>
  <si>
    <t>Travel Allowance (PAYE)</t>
  </si>
  <si>
    <t>Volle waarde</t>
  </si>
  <si>
    <t>3703 = Diegene wat nie 'n reistoelaag ontvang, maar ad hoc reiseise doen = nie belasbaar</t>
  </si>
  <si>
    <t>&lt;&lt; Tik in soos nodig</t>
  </si>
  <si>
    <t>Ongeskiktheidsdekking (ing pensioen Werkg)</t>
  </si>
  <si>
    <t>Ander:</t>
  </si>
  <si>
    <t>[nvt lidbydrae by pakket …]</t>
  </si>
  <si>
    <t>Pensioenbydrae (Werkgewer) - goedgekeur*</t>
  </si>
  <si>
    <t>Voorsorgfondsbydrae (Werkgewer) - goedgekeur*</t>
  </si>
  <si>
    <t>Gross Employment income (taxable)</t>
  </si>
  <si>
    <r>
      <t xml:space="preserve">Annuïteit bydraes (Werkgewer </t>
    </r>
    <r>
      <rPr>
        <u/>
        <sz val="11"/>
        <color theme="1"/>
        <rFont val="Calibri"/>
        <family val="2"/>
        <scheme val="minor"/>
      </rPr>
      <t/>
    </r>
  </si>
  <si>
    <t>Value of remuneration included in travel/vehicle use</t>
  </si>
  <si>
    <t>Belastingwaarde van reistoelaag, voertuiggebruik</t>
  </si>
  <si>
    <t>[80%, 20% ens]</t>
  </si>
  <si>
    <t>(Word gebruik tov toelaatbare aftrekking vir aftreefonds bydraes)</t>
  </si>
  <si>
    <t>[Maandsyfer:  Gedeel deur aantal maande van jaar waarop geregtig]</t>
  </si>
  <si>
    <t>Add'e korting (65 en bo)</t>
  </si>
  <si>
    <t>Add'e korting (75 en bo)</t>
  </si>
  <si>
    <t>-  Vir eerste 2 lede elk</t>
  </si>
  <si>
    <t>-  Vir res van lede elk</t>
  </si>
  <si>
    <t>NB : Vrygewaar teen enige weglatings</t>
  </si>
  <si>
    <t xml:space="preserve">  en foute</t>
  </si>
  <si>
    <r>
      <t xml:space="preserve">MEDIESE KREDIETE (KORTING) </t>
    </r>
    <r>
      <rPr>
        <b/>
        <sz val="9"/>
        <color rgb="FFFF0000"/>
        <rFont val="Arial"/>
        <family val="2"/>
      </rPr>
      <t>- Persone 65j+ kry nog meer korting (nie hier ingewerk nie)</t>
    </r>
  </si>
  <si>
    <t>Ander toelaag</t>
  </si>
  <si>
    <t>Indien huurgeld OOK betaal is</t>
  </si>
  <si>
    <r>
      <t xml:space="preserve">“The value of the taxable benefit in respect of residential accommodation must be the determined rental value </t>
    </r>
    <r>
      <rPr>
        <u/>
        <sz val="11"/>
        <color theme="1"/>
        <rFont val="Calibri"/>
        <family val="2"/>
        <scheme val="minor"/>
      </rPr>
      <t>less any consideration paid by the employee</t>
    </r>
    <r>
      <rPr>
        <sz val="11"/>
        <color theme="1"/>
        <rFont val="Calibri"/>
        <family val="2"/>
        <scheme val="minor"/>
      </rPr>
      <t>”.
Dus:  Die formule se finale waarde minus die huurgeld pm wat betaal word.</t>
    </r>
  </si>
  <si>
    <t>Huurgeld betaal per maand</t>
  </si>
  <si>
    <t>Positiewe syfer (nie minus nie). Formule trek self af.</t>
  </si>
  <si>
    <t>Mnd datum</t>
  </si>
  <si>
    <t>PERSOONLIKE belasting AFTREKBARE ITEMS</t>
  </si>
  <si>
    <t>ANN-P</t>
  </si>
  <si>
    <t>Persoonlike ANNUITEIT</t>
  </si>
  <si>
    <t>Soos deur aftreefonds voorgeskryf</t>
  </si>
  <si>
    <t>GEEN</t>
  </si>
  <si>
    <t>NEE</t>
  </si>
  <si>
    <t>LBS op bonus</t>
  </si>
  <si>
    <t>Add WVF op bonus</t>
  </si>
  <si>
    <t>2026/27 : SALARIS : Amptenaar</t>
  </si>
  <si>
    <t>2026-27 BELASTINGTABEL</t>
  </si>
  <si>
    <t>[01/03/2026 tot 28/02/2027]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</si>
</sst>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R&quot;\ #,##0;[Red]&quot;R&quot;\ \-#,##0"/>
    <numFmt numFmtId="165" formatCode="_ * #,##0.00_ ;_ * \-#,##0.00_ ;_ * &quot;-&quot;??_ ;_ @_ "/>
    <numFmt numFmtId="166" formatCode="&quot;R&quot;\ #,##0"/>
    <numFmt numFmtId="167" formatCode="_ * #,##0_ ;_ * \-#,##0_ ;_ * &quot;-&quot;??_ ;_ @_ "/>
    <numFmt numFmtId="168" formatCode="0.0%"/>
    <numFmt numFmtId="169" formatCode="0.0000%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B0F0"/>
      <name val="Calibri"/>
      <family val="2"/>
      <scheme val="minor"/>
    </font>
    <font>
      <sz val="11"/>
      <color rgb="FF92D050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1"/>
      <name val="Tahoma"/>
      <family val="2"/>
    </font>
    <font>
      <i/>
      <sz val="11"/>
      <color rgb="FF7030A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00B0F0"/>
      <name val="Wingdings"/>
      <charset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.5"/>
      <name val="Calibri"/>
      <family val="2"/>
      <scheme val="minor"/>
    </font>
    <font>
      <b/>
      <sz val="14"/>
      <color rgb="FFFF0000"/>
      <name val="Symbol"/>
      <family val="1"/>
      <charset val="2"/>
    </font>
    <font>
      <i/>
      <sz val="9"/>
      <color rgb="FF0070C0"/>
      <name val="Calibri"/>
      <family val="2"/>
      <scheme val="minor"/>
    </font>
    <font>
      <sz val="9"/>
      <color rgb="FF0070C0"/>
      <name val="Wingdings 3"/>
      <family val="1"/>
      <charset val="2"/>
    </font>
    <font>
      <sz val="20"/>
      <color rgb="FFC00000"/>
      <name val="Calibri"/>
      <family val="2"/>
      <scheme val="minor"/>
    </font>
    <font>
      <sz val="8"/>
      <color indexed="81"/>
      <name val="Tahoma"/>
      <family val="2"/>
    </font>
    <font>
      <sz val="9"/>
      <color rgb="FF0070C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C00000"/>
      <name val="Calibri"/>
      <family val="2"/>
      <scheme val="minor"/>
    </font>
    <font>
      <sz val="9"/>
      <color theme="7" tint="-0.249977111117893"/>
      <name val="Calibri"/>
      <family val="2"/>
      <scheme val="minor"/>
    </font>
    <font>
      <i/>
      <sz val="11"/>
      <color theme="7" tint="-0.249977111117893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00B0F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sz val="9"/>
      <color indexed="10"/>
      <name val="Tahoma"/>
      <family val="2"/>
    </font>
    <font>
      <sz val="9"/>
      <color rgb="FF7030A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FF0000"/>
      <name val="Arial"/>
      <family val="2"/>
    </font>
    <font>
      <sz val="11"/>
      <color rgb="FF00B0F0"/>
      <name val="Comic Sans MS"/>
      <family val="4"/>
    </font>
    <font>
      <sz val="11"/>
      <color rgb="FF00B0F0"/>
      <name val="Arial Narrow"/>
      <family val="2"/>
    </font>
    <font>
      <sz val="9"/>
      <color rgb="FF00B0F0"/>
      <name val="Arial Narrow"/>
      <family val="2"/>
    </font>
    <font>
      <sz val="9"/>
      <color rgb="FF92D050"/>
      <name val="Arial Narrow"/>
      <family val="2"/>
    </font>
    <font>
      <sz val="9"/>
      <color rgb="FF92D050"/>
      <name val="Calibri"/>
      <family val="2"/>
      <scheme val="minor"/>
    </font>
    <font>
      <sz val="11"/>
      <color rgb="FF92D050"/>
      <name val="Arial Narrow"/>
      <family val="2"/>
    </font>
    <font>
      <i/>
      <sz val="11"/>
      <color rgb="FF00B0F0"/>
      <name val="Arial Narrow"/>
      <family val="2"/>
    </font>
    <font>
      <b/>
      <sz val="9"/>
      <name val="Arial"/>
      <family val="2"/>
    </font>
    <font>
      <b/>
      <u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ashDotDot">
        <color indexed="64"/>
      </left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 style="dashDotDot">
        <color indexed="64"/>
      </right>
      <top/>
      <bottom/>
      <diagonal/>
    </border>
    <border>
      <left style="dashDotDot">
        <color indexed="64"/>
      </left>
      <right style="dashDotDot">
        <color indexed="64"/>
      </right>
      <top/>
      <bottom style="dashDotDot">
        <color indexed="64"/>
      </bottom>
      <diagonal/>
    </border>
    <border>
      <left style="dashDotDot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26">
    <xf numFmtId="0" fontId="0" fillId="0" borderId="0" xfId="0"/>
    <xf numFmtId="0" fontId="23" fillId="0" borderId="0" xfId="3"/>
    <xf numFmtId="0" fontId="43" fillId="0" borderId="0" xfId="0" applyFont="1"/>
    <xf numFmtId="3" fontId="43" fillId="0" borderId="0" xfId="0" applyNumberFormat="1" applyFont="1"/>
    <xf numFmtId="165" fontId="0" fillId="0" borderId="0" xfId="1" applyFont="1" applyFill="1" applyBorder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1" fillId="0" borderId="1" xfId="0" applyFont="1" applyBorder="1" applyAlignment="1" applyProtection="1">
      <alignment horizontal="left" indent="2"/>
      <protection locked="0"/>
    </xf>
    <xf numFmtId="165" fontId="11" fillId="0" borderId="1" xfId="1" applyFont="1" applyFill="1" applyBorder="1" applyAlignment="1" applyProtection="1">
      <alignment horizontal="right"/>
      <protection locked="0"/>
    </xf>
    <xf numFmtId="0" fontId="3" fillId="0" borderId="1" xfId="0" applyFont="1" applyBorder="1"/>
    <xf numFmtId="0" fontId="0" fillId="0" borderId="1" xfId="0" applyBorder="1"/>
    <xf numFmtId="0" fontId="2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4" xfId="0" applyFont="1" applyBorder="1"/>
    <xf numFmtId="14" fontId="6" fillId="0" borderId="1" xfId="0" applyNumberFormat="1" applyFont="1" applyBorder="1" applyAlignment="1">
      <alignment horizontal="left"/>
    </xf>
    <xf numFmtId="0" fontId="15" fillId="0" borderId="1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0" fillId="0" borderId="11" xfId="0" applyBorder="1"/>
    <xf numFmtId="0" fontId="17" fillId="0" borderId="1" xfId="0" applyFont="1" applyBorder="1" applyAlignment="1">
      <alignment horizontal="center"/>
    </xf>
    <xf numFmtId="0" fontId="0" fillId="0" borderId="10" xfId="0" applyBorder="1"/>
    <xf numFmtId="0" fontId="10" fillId="0" borderId="2" xfId="0" applyFont="1" applyBorder="1" applyAlignment="1">
      <alignment horizontal="center"/>
    </xf>
    <xf numFmtId="165" fontId="14" fillId="0" borderId="14" xfId="1" applyFont="1" applyFill="1" applyBorder="1" applyProtection="1"/>
    <xf numFmtId="165" fontId="0" fillId="0" borderId="12" xfId="0" applyNumberFormat="1" applyBorder="1"/>
    <xf numFmtId="0" fontId="3" fillId="0" borderId="0" xfId="0" applyFont="1"/>
    <xf numFmtId="165" fontId="3" fillId="0" borderId="12" xfId="0" applyNumberFormat="1" applyFont="1" applyBorder="1"/>
    <xf numFmtId="0" fontId="2" fillId="0" borderId="0" xfId="0" applyFont="1"/>
    <xf numFmtId="0" fontId="16" fillId="0" borderId="0" xfId="0" applyFont="1"/>
    <xf numFmtId="1" fontId="17" fillId="0" borderId="0" xfId="0" applyNumberFormat="1" applyFont="1" applyAlignment="1">
      <alignment horizontal="center"/>
    </xf>
    <xf numFmtId="165" fontId="0" fillId="0" borderId="1" xfId="1" applyFont="1" applyFill="1" applyBorder="1" applyProtection="1"/>
    <xf numFmtId="165" fontId="6" fillId="0" borderId="1" xfId="1" applyFont="1" applyFill="1" applyBorder="1" applyProtection="1"/>
    <xf numFmtId="0" fontId="3" fillId="0" borderId="9" xfId="0" applyFont="1" applyBorder="1" applyAlignment="1">
      <alignment horizontal="center"/>
    </xf>
    <xf numFmtId="165" fontId="3" fillId="0" borderId="0" xfId="0" applyNumberFormat="1" applyFont="1"/>
    <xf numFmtId="165" fontId="3" fillId="0" borderId="13" xfId="0" applyNumberFormat="1" applyFont="1" applyBorder="1"/>
    <xf numFmtId="0" fontId="6" fillId="0" borderId="0" xfId="0" applyFont="1"/>
    <xf numFmtId="165" fontId="0" fillId="0" borderId="0" xfId="1" applyFont="1" applyProtection="1">
      <protection locked="0"/>
    </xf>
    <xf numFmtId="0" fontId="0" fillId="0" borderId="0" xfId="0" quotePrefix="1" applyProtection="1">
      <protection locked="0"/>
    </xf>
    <xf numFmtId="0" fontId="0" fillId="0" borderId="27" xfId="0" applyBorder="1" applyProtection="1">
      <protection locked="0"/>
    </xf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3" fillId="2" borderId="4" xfId="0" applyFont="1" applyFill="1" applyBorder="1"/>
    <xf numFmtId="0" fontId="0" fillId="2" borderId="5" xfId="0" applyFill="1" applyBorder="1"/>
    <xf numFmtId="0" fontId="44" fillId="2" borderId="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0" borderId="0" xfId="1" applyFont="1" applyProtection="1"/>
    <xf numFmtId="0" fontId="43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65" fontId="19" fillId="0" borderId="11" xfId="1" applyFont="1" applyFill="1" applyBorder="1" applyAlignment="1" applyProtection="1">
      <alignment horizontal="left"/>
    </xf>
    <xf numFmtId="165" fontId="6" fillId="0" borderId="0" xfId="1" applyFont="1" applyFill="1" applyBorder="1" applyAlignment="1" applyProtection="1">
      <alignment horizontal="left"/>
    </xf>
    <xf numFmtId="165" fontId="0" fillId="0" borderId="0" xfId="1" applyFont="1" applyFill="1" applyProtection="1"/>
    <xf numFmtId="165" fontId="0" fillId="0" borderId="0" xfId="1" applyFont="1" applyFill="1" applyBorder="1" applyProtection="1"/>
    <xf numFmtId="165" fontId="0" fillId="0" borderId="26" xfId="1" applyFont="1" applyFill="1" applyBorder="1" applyProtection="1"/>
    <xf numFmtId="0" fontId="6" fillId="2" borderId="5" xfId="0" applyFont="1" applyFill="1" applyBorder="1" applyAlignment="1">
      <alignment horizontal="left"/>
    </xf>
    <xf numFmtId="165" fontId="6" fillId="2" borderId="6" xfId="1" applyFont="1" applyFill="1" applyBorder="1" applyAlignment="1" applyProtection="1">
      <alignment horizontal="left"/>
    </xf>
    <xf numFmtId="0" fontId="0" fillId="0" borderId="0" xfId="1" applyNumberFormat="1" applyFont="1" applyFill="1" applyProtection="1"/>
    <xf numFmtId="0" fontId="14" fillId="2" borderId="4" xfId="0" applyFont="1" applyFill="1" applyBorder="1"/>
    <xf numFmtId="0" fontId="0" fillId="0" borderId="0" xfId="0" applyAlignment="1">
      <alignment horizontal="right"/>
    </xf>
    <xf numFmtId="165" fontId="3" fillId="0" borderId="0" xfId="1" applyFont="1" applyFill="1" applyProtection="1"/>
    <xf numFmtId="165" fontId="1" fillId="0" borderId="0" xfId="1" applyFont="1" applyFill="1" applyProtection="1"/>
    <xf numFmtId="0" fontId="0" fillId="0" borderId="0" xfId="0" quotePrefix="1" applyAlignment="1">
      <alignment horizontal="right"/>
    </xf>
    <xf numFmtId="165" fontId="3" fillId="0" borderId="12" xfId="1" applyFont="1" applyFill="1" applyBorder="1" applyProtection="1"/>
    <xf numFmtId="165" fontId="6" fillId="0" borderId="0" xfId="1" applyFont="1" applyFill="1" applyProtection="1"/>
    <xf numFmtId="165" fontId="1" fillId="0" borderId="0" xfId="1" applyFont="1" applyProtection="1"/>
    <xf numFmtId="0" fontId="0" fillId="0" borderId="0" xfId="0" quotePrefix="1"/>
    <xf numFmtId="165" fontId="0" fillId="0" borderId="11" xfId="1" applyFont="1" applyFill="1" applyBorder="1" applyProtection="1"/>
    <xf numFmtId="0" fontId="0" fillId="0" borderId="33" xfId="0" applyBorder="1"/>
    <xf numFmtId="0" fontId="0" fillId="0" borderId="27" xfId="0" applyBorder="1"/>
    <xf numFmtId="0" fontId="0" fillId="0" borderId="8" xfId="0" applyBorder="1"/>
    <xf numFmtId="165" fontId="1" fillId="0" borderId="0" xfId="1" applyFont="1" applyFill="1" applyBorder="1" applyProtection="1"/>
    <xf numFmtId="0" fontId="0" fillId="0" borderId="3" xfId="0" applyBorder="1" applyProtection="1">
      <protection locked="0"/>
    </xf>
    <xf numFmtId="0" fontId="0" fillId="0" borderId="25" xfId="0" applyBorder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25" xfId="0" applyFont="1" applyBorder="1" applyAlignment="1" applyProtection="1">
      <alignment horizontal="center"/>
      <protection locked="0"/>
    </xf>
    <xf numFmtId="0" fontId="10" fillId="0" borderId="0" xfId="0" applyFont="1"/>
    <xf numFmtId="0" fontId="28" fillId="0" borderId="33" xfId="0" applyFont="1" applyBorder="1"/>
    <xf numFmtId="0" fontId="0" fillId="0" borderId="2" xfId="0" applyBorder="1"/>
    <xf numFmtId="0" fontId="31" fillId="0" borderId="0" xfId="0" quotePrefix="1" applyFont="1"/>
    <xf numFmtId="0" fontId="15" fillId="0" borderId="27" xfId="0" applyFont="1" applyBorder="1" applyAlignment="1">
      <alignment horizontal="center"/>
    </xf>
    <xf numFmtId="0" fontId="10" fillId="0" borderId="0" xfId="0" quotePrefix="1" applyFont="1"/>
    <xf numFmtId="0" fontId="31" fillId="0" borderId="27" xfId="0" applyFont="1" applyBorder="1" applyAlignment="1">
      <alignment horizontal="right"/>
    </xf>
    <xf numFmtId="0" fontId="38" fillId="0" borderId="27" xfId="0" applyFont="1" applyBorder="1" applyAlignment="1">
      <alignment horizontal="right"/>
    </xf>
    <xf numFmtId="0" fontId="0" fillId="0" borderId="27" xfId="0" applyBorder="1" applyAlignment="1">
      <alignment horizontal="right"/>
    </xf>
    <xf numFmtId="49" fontId="0" fillId="0" borderId="0" xfId="0" quotePrefix="1" applyNumberFormat="1"/>
    <xf numFmtId="49" fontId="0" fillId="0" borderId="0" xfId="0" applyNumberFormat="1"/>
    <xf numFmtId="20" fontId="0" fillId="0" borderId="0" xfId="0" applyNumberFormat="1"/>
    <xf numFmtId="20" fontId="0" fillId="0" borderId="27" xfId="0" applyNumberFormat="1" applyBorder="1"/>
    <xf numFmtId="0" fontId="10" fillId="0" borderId="27" xfId="0" applyFont="1" applyBorder="1"/>
    <xf numFmtId="0" fontId="10" fillId="0" borderId="7" xfId="0" applyFont="1" applyBorder="1"/>
    <xf numFmtId="0" fontId="0" fillId="0" borderId="7" xfId="0" applyBorder="1"/>
    <xf numFmtId="0" fontId="5" fillId="0" borderId="0" xfId="0" applyFont="1"/>
    <xf numFmtId="0" fontId="34" fillId="0" borderId="0" xfId="0" applyFont="1" applyAlignment="1">
      <alignment vertical="center"/>
    </xf>
    <xf numFmtId="0" fontId="35" fillId="0" borderId="0" xfId="0" applyFont="1"/>
    <xf numFmtId="165" fontId="1" fillId="0" borderId="12" xfId="1" applyFont="1" applyFill="1" applyBorder="1" applyProtection="1"/>
    <xf numFmtId="165" fontId="1" fillId="0" borderId="1" xfId="1" applyFont="1" applyFill="1" applyBorder="1" applyProtection="1"/>
    <xf numFmtId="165" fontId="3" fillId="0" borderId="10" xfId="1" applyFont="1" applyFill="1" applyBorder="1" applyProtection="1"/>
    <xf numFmtId="165" fontId="11" fillId="0" borderId="1" xfId="1" applyFont="1" applyFill="1" applyBorder="1" applyProtection="1">
      <protection locked="0"/>
    </xf>
    <xf numFmtId="9" fontId="11" fillId="0" borderId="1" xfId="2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35" fillId="0" borderId="25" xfId="0" applyFont="1" applyBorder="1" applyAlignment="1">
      <alignment horizontal="right"/>
    </xf>
    <xf numFmtId="0" fontId="15" fillId="0" borderId="3" xfId="0" applyFont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28" fillId="0" borderId="0" xfId="0" applyFont="1"/>
    <xf numFmtId="0" fontId="31" fillId="0" borderId="27" xfId="0" applyFont="1" applyBorder="1"/>
    <xf numFmtId="0" fontId="0" fillId="0" borderId="27" xfId="0" quotePrefix="1" applyBorder="1"/>
    <xf numFmtId="0" fontId="3" fillId="0" borderId="0" xfId="0" applyFont="1" applyAlignment="1">
      <alignment horizontal="right"/>
    </xf>
    <xf numFmtId="168" fontId="11" fillId="0" borderId="1" xfId="2" applyNumberFormat="1" applyFont="1" applyFill="1" applyBorder="1" applyAlignment="1" applyProtection="1">
      <alignment horizontal="center"/>
      <protection locked="0"/>
    </xf>
    <xf numFmtId="165" fontId="3" fillId="0" borderId="35" xfId="1" applyFont="1" applyFill="1" applyBorder="1" applyProtection="1"/>
    <xf numFmtId="0" fontId="14" fillId="0" borderId="0" xfId="0" applyFont="1"/>
    <xf numFmtId="0" fontId="0" fillId="0" borderId="1" xfId="0" applyBorder="1" applyProtection="1">
      <protection locked="0"/>
    </xf>
    <xf numFmtId="0" fontId="15" fillId="0" borderId="0" xfId="0" applyFont="1" applyAlignment="1">
      <alignment horizontal="center"/>
    </xf>
    <xf numFmtId="14" fontId="48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19" fillId="0" borderId="1" xfId="1" applyFont="1" applyFill="1" applyBorder="1" applyAlignment="1" applyProtection="1">
      <alignment horizontal="left"/>
    </xf>
    <xf numFmtId="165" fontId="19" fillId="0" borderId="8" xfId="1" applyFont="1" applyFill="1" applyBorder="1" applyAlignment="1" applyProtection="1">
      <alignment horizontal="left"/>
    </xf>
    <xf numFmtId="165" fontId="40" fillId="0" borderId="0" xfId="1" applyFont="1" applyFill="1" applyProtection="1"/>
    <xf numFmtId="0" fontId="44" fillId="0" borderId="0" xfId="0" applyFont="1" applyAlignment="1">
      <alignment horizontal="center"/>
    </xf>
    <xf numFmtId="165" fontId="40" fillId="0" borderId="0" xfId="1" applyFont="1" applyProtection="1"/>
    <xf numFmtId="165" fontId="44" fillId="0" borderId="1" xfId="1" applyFont="1" applyFill="1" applyBorder="1" applyProtection="1"/>
    <xf numFmtId="165" fontId="40" fillId="0" borderId="0" xfId="1" applyFont="1" applyFill="1" applyBorder="1" applyProtection="1"/>
    <xf numFmtId="165" fontId="45" fillId="0" borderId="0" xfId="1" applyFont="1" applyFill="1" applyBorder="1" applyAlignment="1" applyProtection="1">
      <alignment horizontal="left"/>
    </xf>
    <xf numFmtId="165" fontId="44" fillId="0" borderId="0" xfId="1" applyFont="1" applyProtection="1"/>
    <xf numFmtId="165" fontId="0" fillId="0" borderId="10" xfId="1" applyFont="1" applyFill="1" applyBorder="1" applyProtection="1"/>
    <xf numFmtId="165" fontId="7" fillId="0" borderId="14" xfId="1" applyFont="1" applyBorder="1" applyProtection="1"/>
    <xf numFmtId="165" fontId="0" fillId="0" borderId="4" xfId="1" applyFont="1" applyFill="1" applyBorder="1" applyProtection="1"/>
    <xf numFmtId="0" fontId="52" fillId="0" borderId="0" xfId="0" applyFont="1"/>
    <xf numFmtId="0" fontId="12" fillId="0" borderId="0" xfId="0" applyFont="1"/>
    <xf numFmtId="0" fontId="13" fillId="0" borderId="0" xfId="0" applyFont="1" applyAlignment="1">
      <alignment horizontal="center" wrapText="1"/>
    </xf>
    <xf numFmtId="14" fontId="17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9" fontId="6" fillId="0" borderId="0" xfId="2" applyFont="1" applyFill="1" applyBorder="1" applyAlignment="1" applyProtection="1">
      <alignment horizontal="center"/>
    </xf>
    <xf numFmtId="0" fontId="11" fillId="0" borderId="0" xfId="0" applyFont="1"/>
    <xf numFmtId="0" fontId="8" fillId="0" borderId="0" xfId="0" applyFont="1"/>
    <xf numFmtId="9" fontId="11" fillId="0" borderId="0" xfId="0" applyNumberFormat="1" applyFont="1" applyProtection="1">
      <protection locked="0"/>
    </xf>
    <xf numFmtId="165" fontId="11" fillId="0" borderId="1" xfId="1" applyFont="1" applyBorder="1" applyProtection="1">
      <protection locked="0"/>
    </xf>
    <xf numFmtId="165" fontId="11" fillId="0" borderId="9" xfId="1" applyFont="1" applyBorder="1" applyProtection="1">
      <protection locked="0"/>
    </xf>
    <xf numFmtId="0" fontId="6" fillId="0" borderId="0" xfId="0" applyFont="1" applyProtection="1">
      <protection locked="0"/>
    </xf>
    <xf numFmtId="165" fontId="11" fillId="0" borderId="11" xfId="1" applyFont="1" applyFill="1" applyBorder="1" applyAlignment="1" applyProtection="1">
      <alignment horizontal="left"/>
      <protection locked="0"/>
    </xf>
    <xf numFmtId="0" fontId="43" fillId="0" borderId="0" xfId="0" applyFont="1" applyProtection="1">
      <protection locked="0"/>
    </xf>
    <xf numFmtId="165" fontId="0" fillId="0" borderId="0" xfId="1" applyFont="1"/>
    <xf numFmtId="165" fontId="19" fillId="0" borderId="0" xfId="1" applyFont="1" applyFill="1" applyBorder="1" applyAlignment="1" applyProtection="1">
      <alignment horizontal="left"/>
    </xf>
    <xf numFmtId="0" fontId="54" fillId="0" borderId="0" xfId="0" quotePrefix="1" applyFont="1"/>
    <xf numFmtId="0" fontId="56" fillId="0" borderId="0" xfId="0" applyFont="1" applyProtection="1">
      <protection locked="0"/>
    </xf>
    <xf numFmtId="0" fontId="0" fillId="0" borderId="0" xfId="0" applyAlignment="1">
      <alignment wrapText="1"/>
    </xf>
    <xf numFmtId="165" fontId="57" fillId="0" borderId="1" xfId="0" applyNumberFormat="1" applyFont="1" applyBorder="1" applyAlignment="1">
      <alignment horizontal="center" wrapText="1"/>
    </xf>
    <xf numFmtId="43" fontId="6" fillId="0" borderId="1" xfId="1" applyNumberFormat="1" applyFont="1" applyFill="1" applyBorder="1" applyAlignment="1" applyProtection="1">
      <alignment horizontal="left"/>
    </xf>
    <xf numFmtId="0" fontId="31" fillId="0" borderId="0" xfId="0" applyFont="1"/>
    <xf numFmtId="0" fontId="0" fillId="0" borderId="6" xfId="0" quotePrefix="1" applyBorder="1" applyProtection="1">
      <protection locked="0"/>
    </xf>
    <xf numFmtId="165" fontId="0" fillId="0" borderId="4" xfId="1" applyFont="1" applyBorder="1" applyProtection="1">
      <protection locked="0"/>
    </xf>
    <xf numFmtId="165" fontId="58" fillId="0" borderId="1" xfId="1" applyFont="1" applyFill="1" applyBorder="1" applyProtection="1">
      <protection locked="0"/>
    </xf>
    <xf numFmtId="165" fontId="58" fillId="0" borderId="11" xfId="1" applyFont="1" applyBorder="1" applyProtection="1">
      <protection locked="0"/>
    </xf>
    <xf numFmtId="0" fontId="18" fillId="0" borderId="0" xfId="0" applyFont="1" applyAlignment="1">
      <alignment horizontal="right"/>
    </xf>
    <xf numFmtId="165" fontId="18" fillId="0" borderId="0" xfId="1" applyFont="1" applyFill="1" applyProtection="1"/>
    <xf numFmtId="0" fontId="9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Protection="1">
      <protection locked="0"/>
    </xf>
    <xf numFmtId="0" fontId="0" fillId="0" borderId="8" xfId="0" applyBorder="1" applyProtection="1">
      <protection locked="0"/>
    </xf>
    <xf numFmtId="0" fontId="10" fillId="0" borderId="8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Protection="1">
      <protection locked="0"/>
    </xf>
    <xf numFmtId="0" fontId="35" fillId="0" borderId="0" xfId="0" quotePrefix="1" applyFont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quotePrefix="1" applyFont="1"/>
    <xf numFmtId="1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top"/>
    </xf>
    <xf numFmtId="0" fontId="11" fillId="0" borderId="0" xfId="0" applyFont="1" applyProtection="1">
      <protection locked="0"/>
    </xf>
    <xf numFmtId="165" fontId="58" fillId="0" borderId="0" xfId="1" applyFont="1" applyBorder="1" applyProtection="1">
      <protection locked="0"/>
    </xf>
    <xf numFmtId="165" fontId="11" fillId="0" borderId="10" xfId="1" applyFont="1" applyFill="1" applyBorder="1" applyAlignment="1" applyProtection="1">
      <alignment horizontal="right"/>
      <protection locked="0"/>
    </xf>
    <xf numFmtId="167" fontId="11" fillId="0" borderId="11" xfId="1" applyNumberFormat="1" applyFont="1" applyFill="1" applyBorder="1" applyAlignment="1" applyProtection="1">
      <protection locked="0"/>
    </xf>
    <xf numFmtId="165" fontId="6" fillId="0" borderId="1" xfId="1" applyFont="1" applyFill="1" applyBorder="1" applyAlignment="1" applyProtection="1">
      <alignment horizontal="center"/>
      <protection locked="0"/>
    </xf>
    <xf numFmtId="165" fontId="6" fillId="0" borderId="10" xfId="1" applyFont="1" applyFill="1" applyBorder="1" applyAlignment="1" applyProtection="1">
      <alignment horizontal="center"/>
      <protection locked="0"/>
    </xf>
    <xf numFmtId="0" fontId="55" fillId="0" borderId="0" xfId="0" applyFont="1" applyAlignment="1">
      <alignment horizontal="center"/>
    </xf>
    <xf numFmtId="0" fontId="62" fillId="0" borderId="0" xfId="0" quotePrefix="1" applyFont="1"/>
    <xf numFmtId="165" fontId="3" fillId="0" borderId="1" xfId="1" applyFont="1" applyFill="1" applyBorder="1" applyProtection="1"/>
    <xf numFmtId="165" fontId="0" fillId="0" borderId="8" xfId="0" applyNumberFormat="1" applyBorder="1"/>
    <xf numFmtId="165" fontId="0" fillId="0" borderId="5" xfId="0" applyNumberFormat="1" applyBorder="1"/>
    <xf numFmtId="0" fontId="10" fillId="0" borderId="11" xfId="0" applyFont="1" applyBorder="1"/>
    <xf numFmtId="0" fontId="0" fillId="0" borderId="0" xfId="0" applyAlignment="1">
      <alignment horizontal="center" vertical="center"/>
    </xf>
    <xf numFmtId="0" fontId="63" fillId="0" borderId="0" xfId="0" applyFont="1" applyAlignment="1">
      <alignment wrapText="1"/>
    </xf>
    <xf numFmtId="165" fontId="6" fillId="0" borderId="37" xfId="1" applyFont="1" applyFill="1" applyBorder="1" applyAlignment="1" applyProtection="1">
      <alignment horizontal="left"/>
    </xf>
    <xf numFmtId="10" fontId="13" fillId="0" borderId="12" xfId="2" applyNumberFormat="1" applyFont="1" applyBorder="1" applyProtection="1"/>
    <xf numFmtId="0" fontId="64" fillId="0" borderId="0" xfId="0" applyFont="1" applyAlignment="1">
      <alignment horizontal="right"/>
    </xf>
    <xf numFmtId="165" fontId="0" fillId="0" borderId="40" xfId="1" applyFont="1" applyBorder="1" applyProtection="1"/>
    <xf numFmtId="165" fontId="19" fillId="0" borderId="39" xfId="1" applyFont="1" applyFill="1" applyBorder="1" applyAlignment="1" applyProtection="1">
      <alignment horizontal="left"/>
    </xf>
    <xf numFmtId="165" fontId="0" fillId="0" borderId="0" xfId="1" applyFont="1" applyBorder="1" applyProtection="1"/>
    <xf numFmtId="165" fontId="44" fillId="0" borderId="0" xfId="1" applyFont="1" applyFill="1" applyBorder="1" applyProtection="1"/>
    <xf numFmtId="165" fontId="44" fillId="0" borderId="0" xfId="1" applyFont="1" applyBorder="1" applyProtection="1"/>
    <xf numFmtId="165" fontId="3" fillId="0" borderId="0" xfId="1" applyFont="1" applyBorder="1" applyProtection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 applyProtection="1">
      <alignment horizontal="right"/>
      <protection locked="0"/>
    </xf>
    <xf numFmtId="0" fontId="0" fillId="0" borderId="41" xfId="0" applyBorder="1" applyAlignment="1">
      <alignment horizontal="left" indent="1"/>
    </xf>
    <xf numFmtId="0" fontId="0" fillId="0" borderId="41" xfId="0" applyBorder="1"/>
    <xf numFmtId="0" fontId="3" fillId="0" borderId="41" xfId="0" applyFont="1" applyBorder="1" applyAlignment="1">
      <alignment horizontal="right"/>
    </xf>
    <xf numFmtId="0" fontId="0" fillId="0" borderId="41" xfId="0" applyBorder="1" applyAlignment="1" applyProtection="1">
      <alignment horizontal="right"/>
      <protection locked="0"/>
    </xf>
    <xf numFmtId="0" fontId="44" fillId="0" borderId="0" xfId="0" applyFont="1"/>
    <xf numFmtId="0" fontId="40" fillId="0" borderId="0" xfId="0" applyFont="1"/>
    <xf numFmtId="0" fontId="19" fillId="0" borderId="0" xfId="0" applyFont="1" applyAlignment="1">
      <alignment horizontal="left"/>
    </xf>
    <xf numFmtId="165" fontId="40" fillId="0" borderId="0" xfId="1" applyFont="1" applyFill="1" applyProtection="1">
      <protection locked="0"/>
    </xf>
    <xf numFmtId="0" fontId="65" fillId="0" borderId="0" xfId="0" applyFont="1"/>
    <xf numFmtId="165" fontId="40" fillId="0" borderId="0" xfId="1" applyFont="1" applyFill="1" applyBorder="1" applyProtection="1">
      <protection locked="0"/>
    </xf>
    <xf numFmtId="165" fontId="66" fillId="0" borderId="0" xfId="1" applyFont="1" applyFill="1" applyBorder="1" applyAlignment="1" applyProtection="1">
      <alignment horizontal="left"/>
      <protection locked="0"/>
    </xf>
    <xf numFmtId="166" fontId="19" fillId="0" borderId="0" xfId="0" applyNumberFormat="1" applyFont="1" applyAlignment="1">
      <alignment horizontal="left"/>
    </xf>
    <xf numFmtId="0" fontId="45" fillId="0" borderId="0" xfId="0" applyFont="1" applyAlignment="1">
      <alignment horizontal="left"/>
    </xf>
    <xf numFmtId="0" fontId="67" fillId="0" borderId="0" xfId="0" applyFont="1"/>
    <xf numFmtId="165" fontId="67" fillId="0" borderId="14" xfId="1" applyFont="1" applyBorder="1" applyProtection="1"/>
    <xf numFmtId="165" fontId="44" fillId="0" borderId="12" xfId="1" applyFont="1" applyBorder="1" applyProtection="1"/>
    <xf numFmtId="0" fontId="44" fillId="0" borderId="41" xfId="0" applyFont="1" applyBorder="1"/>
    <xf numFmtId="0" fontId="40" fillId="0" borderId="41" xfId="0" applyFont="1" applyBorder="1"/>
    <xf numFmtId="165" fontId="44" fillId="0" borderId="41" xfId="1" applyFont="1" applyBorder="1" applyProtection="1"/>
    <xf numFmtId="0" fontId="40" fillId="0" borderId="0" xfId="0" applyFont="1" applyProtection="1">
      <protection locked="0"/>
    </xf>
    <xf numFmtId="2" fontId="40" fillId="0" borderId="1" xfId="0" applyNumberFormat="1" applyFont="1" applyBorder="1" applyAlignment="1" applyProtection="1">
      <alignment horizontal="right" indent="1"/>
      <protection locked="0"/>
    </xf>
    <xf numFmtId="0" fontId="40" fillId="0" borderId="0" xfId="0" applyFont="1" applyAlignment="1" applyProtection="1">
      <alignment horizontal="right" indent="1"/>
      <protection locked="0"/>
    </xf>
    <xf numFmtId="2" fontId="40" fillId="0" borderId="0" xfId="0" applyNumberFormat="1" applyFont="1" applyAlignment="1" applyProtection="1">
      <alignment horizontal="right" indent="1"/>
      <protection locked="0"/>
    </xf>
    <xf numFmtId="0" fontId="19" fillId="0" borderId="0" xfId="0" quotePrefix="1" applyFont="1" applyAlignment="1">
      <alignment horizontal="left"/>
    </xf>
    <xf numFmtId="2" fontId="40" fillId="0" borderId="0" xfId="0" applyNumberFormat="1" applyFont="1" applyAlignment="1">
      <alignment horizontal="right" indent="1"/>
    </xf>
    <xf numFmtId="2" fontId="40" fillId="0" borderId="36" xfId="0" applyNumberFormat="1" applyFont="1" applyBorder="1" applyAlignment="1">
      <alignment horizontal="right" indent="1"/>
    </xf>
    <xf numFmtId="0" fontId="40" fillId="0" borderId="0" xfId="0" applyFont="1" applyAlignment="1" applyProtection="1">
      <alignment horizontal="center"/>
      <protection locked="0"/>
    </xf>
    <xf numFmtId="2" fontId="40" fillId="0" borderId="0" xfId="0" applyNumberFormat="1" applyFont="1" applyAlignment="1" applyProtection="1">
      <alignment horizontal="left" indent="3"/>
      <protection locked="0"/>
    </xf>
    <xf numFmtId="14" fontId="40" fillId="0" borderId="0" xfId="0" applyNumberFormat="1" applyFont="1" applyProtection="1">
      <protection locked="0"/>
    </xf>
    <xf numFmtId="0" fontId="9" fillId="0" borderId="10" xfId="0" applyFont="1" applyBorder="1"/>
    <xf numFmtId="165" fontId="71" fillId="0" borderId="1" xfId="1" applyFont="1" applyFill="1" applyBorder="1" applyAlignment="1" applyProtection="1">
      <alignment horizontal="left"/>
    </xf>
    <xf numFmtId="165" fontId="9" fillId="0" borderId="0" xfId="1" applyFont="1" applyFill="1" applyProtection="1"/>
    <xf numFmtId="165" fontId="71" fillId="0" borderId="11" xfId="1" applyFont="1" applyFill="1" applyBorder="1" applyAlignment="1" applyProtection="1">
      <alignment horizontal="left"/>
    </xf>
    <xf numFmtId="165" fontId="5" fillId="0" borderId="14" xfId="1" applyFont="1" applyFill="1" applyBorder="1" applyAlignment="1" applyProtection="1">
      <alignment horizontal="center"/>
    </xf>
    <xf numFmtId="165" fontId="61" fillId="0" borderId="14" xfId="1" applyFont="1" applyFill="1" applyBorder="1" applyAlignment="1" applyProtection="1">
      <alignment horizontal="right"/>
    </xf>
    <xf numFmtId="165" fontId="6" fillId="0" borderId="1" xfId="1" applyFont="1" applyBorder="1" applyProtection="1"/>
    <xf numFmtId="43" fontId="11" fillId="0" borderId="34" xfId="1" applyNumberFormat="1" applyFont="1" applyFill="1" applyBorder="1" applyAlignment="1" applyProtection="1">
      <alignment horizontal="left"/>
      <protection locked="0"/>
    </xf>
    <xf numFmtId="165" fontId="19" fillId="0" borderId="0" xfId="1" applyFont="1" applyFill="1" applyBorder="1" applyAlignment="1" applyProtection="1">
      <alignment horizontal="left"/>
      <protection locked="0"/>
    </xf>
    <xf numFmtId="0" fontId="72" fillId="0" borderId="25" xfId="0" applyFont="1" applyBorder="1" applyAlignment="1">
      <alignment horizontal="right"/>
    </xf>
    <xf numFmtId="0" fontId="32" fillId="0" borderId="0" xfId="0" quotePrefix="1" applyFont="1"/>
    <xf numFmtId="0" fontId="15" fillId="0" borderId="27" xfId="0" applyFont="1" applyBorder="1" applyAlignment="1">
      <alignment horizontal="right"/>
    </xf>
    <xf numFmtId="0" fontId="17" fillId="0" borderId="27" xfId="0" applyFont="1" applyBorder="1" applyAlignment="1">
      <alignment horizontal="right"/>
    </xf>
    <xf numFmtId="0" fontId="3" fillId="0" borderId="0" xfId="0" quotePrefix="1" applyFont="1"/>
    <xf numFmtId="167" fontId="3" fillId="0" borderId="0" xfId="1" applyNumberFormat="1" applyFont="1" applyFill="1" applyProtection="1"/>
    <xf numFmtId="167" fontId="3" fillId="0" borderId="0" xfId="1" applyNumberFormat="1" applyFont="1" applyFill="1" applyBorder="1" applyProtection="1"/>
    <xf numFmtId="0" fontId="46" fillId="0" borderId="0" xfId="0" applyFont="1" applyAlignment="1">
      <alignment horizontal="center" wrapText="1"/>
    </xf>
    <xf numFmtId="0" fontId="3" fillId="0" borderId="26" xfId="0" applyFont="1" applyBorder="1"/>
    <xf numFmtId="0" fontId="0" fillId="0" borderId="26" xfId="0" applyBorder="1"/>
    <xf numFmtId="0" fontId="3" fillId="0" borderId="26" xfId="0" applyFont="1" applyBorder="1" applyAlignment="1">
      <alignment horizontal="center"/>
    </xf>
    <xf numFmtId="0" fontId="44" fillId="0" borderId="0" xfId="0" applyFont="1" applyAlignment="1">
      <alignment horizontal="center" wrapText="1"/>
    </xf>
    <xf numFmtId="167" fontId="3" fillId="0" borderId="0" xfId="1" applyNumberFormat="1" applyFont="1" applyFill="1" applyBorder="1" applyAlignment="1" applyProtection="1">
      <alignment horizontal="left"/>
    </xf>
    <xf numFmtId="0" fontId="0" fillId="0" borderId="0" xfId="0" applyAlignment="1" applyProtection="1">
      <alignment horizontal="center"/>
      <protection locked="0"/>
    </xf>
    <xf numFmtId="167" fontId="10" fillId="0" borderId="36" xfId="0" applyNumberFormat="1" applyFont="1" applyBorder="1"/>
    <xf numFmtId="167" fontId="3" fillId="0" borderId="0" xfId="1" applyNumberFormat="1" applyFont="1" applyFill="1" applyBorder="1" applyAlignment="1" applyProtection="1">
      <alignment horizontal="center"/>
    </xf>
    <xf numFmtId="0" fontId="3" fillId="0" borderId="26" xfId="0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0" fontId="75" fillId="0" borderId="0" xfId="0" applyFont="1" applyProtection="1">
      <protection locked="0"/>
    </xf>
    <xf numFmtId="167" fontId="0" fillId="0" borderId="0" xfId="1" applyNumberFormat="1" applyFont="1" applyFill="1" applyProtection="1"/>
    <xf numFmtId="167" fontId="0" fillId="0" borderId="1" xfId="1" applyNumberFormat="1" applyFont="1" applyFill="1" applyBorder="1" applyProtection="1">
      <protection locked="0"/>
    </xf>
    <xf numFmtId="167" fontId="0" fillId="0" borderId="0" xfId="1" applyNumberFormat="1" applyFont="1" applyFill="1" applyBorder="1" applyProtection="1"/>
    <xf numFmtId="167" fontId="0" fillId="0" borderId="36" xfId="1" applyNumberFormat="1" applyFont="1" applyFill="1" applyBorder="1" applyProtection="1"/>
    <xf numFmtId="167" fontId="0" fillId="0" borderId="10" xfId="1" applyNumberFormat="1" applyFont="1" applyFill="1" applyBorder="1" applyAlignment="1" applyProtection="1">
      <alignment horizontal="left"/>
    </xf>
    <xf numFmtId="167" fontId="0" fillId="0" borderId="0" xfId="1" applyNumberFormat="1" applyFont="1" applyFill="1" applyBorder="1" applyAlignment="1" applyProtection="1">
      <alignment horizontal="left"/>
    </xf>
    <xf numFmtId="167" fontId="0" fillId="0" borderId="1" xfId="1" applyNumberFormat="1" applyFont="1" applyFill="1" applyBorder="1" applyProtection="1"/>
    <xf numFmtId="167" fontId="0" fillId="0" borderId="0" xfId="1" applyNumberFormat="1" applyFont="1" applyFill="1" applyProtection="1">
      <protection locked="0"/>
    </xf>
    <xf numFmtId="167" fontId="0" fillId="0" borderId="10" xfId="1" applyNumberFormat="1" applyFont="1" applyFill="1" applyBorder="1" applyProtection="1"/>
    <xf numFmtId="167" fontId="0" fillId="0" borderId="11" xfId="1" applyNumberFormat="1" applyFont="1" applyFill="1" applyBorder="1" applyProtection="1"/>
    <xf numFmtId="167" fontId="0" fillId="0" borderId="34" xfId="1" applyNumberFormat="1" applyFont="1" applyFill="1" applyBorder="1" applyProtection="1"/>
    <xf numFmtId="167" fontId="0" fillId="0" borderId="34" xfId="0" applyNumberFormat="1" applyBorder="1"/>
    <xf numFmtId="167" fontId="0" fillId="0" borderId="11" xfId="1" applyNumberFormat="1" applyFont="1" applyFill="1" applyBorder="1" applyAlignment="1" applyProtection="1">
      <alignment horizontal="left"/>
    </xf>
    <xf numFmtId="165" fontId="76" fillId="0" borderId="0" xfId="1" applyFont="1" applyProtection="1">
      <protection locked="0"/>
    </xf>
    <xf numFmtId="167" fontId="1" fillId="0" borderId="1" xfId="1" applyNumberFormat="1" applyFont="1" applyFill="1" applyBorder="1" applyProtection="1"/>
    <xf numFmtId="167" fontId="1" fillId="0" borderId="0" xfId="1" applyNumberFormat="1" applyFont="1" applyFill="1" applyBorder="1" applyAlignment="1" applyProtection="1">
      <alignment horizontal="left"/>
    </xf>
    <xf numFmtId="0" fontId="10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77" fillId="0" borderId="0" xfId="0" applyFont="1"/>
    <xf numFmtId="0" fontId="16" fillId="0" borderId="0" xfId="0" applyFont="1" applyProtection="1">
      <protection locked="0"/>
    </xf>
    <xf numFmtId="0" fontId="16" fillId="0" borderId="0" xfId="0" quotePrefix="1" applyFont="1" applyProtection="1">
      <protection locked="0"/>
    </xf>
    <xf numFmtId="0" fontId="78" fillId="0" borderId="0" xfId="0" applyFont="1" applyProtection="1">
      <protection locked="0"/>
    </xf>
    <xf numFmtId="0" fontId="78" fillId="0" borderId="0" xfId="0" applyFont="1"/>
    <xf numFmtId="165" fontId="78" fillId="0" borderId="0" xfId="1" applyFont="1" applyProtection="1"/>
    <xf numFmtId="16" fontId="16" fillId="0" borderId="0" xfId="0" applyNumberFormat="1" applyFont="1" applyProtection="1">
      <protection locked="0"/>
    </xf>
    <xf numFmtId="0" fontId="79" fillId="0" borderId="0" xfId="0" applyFont="1" applyProtection="1">
      <protection locked="0"/>
    </xf>
    <xf numFmtId="165" fontId="77" fillId="0" borderId="0" xfId="1" applyFont="1" applyProtection="1"/>
    <xf numFmtId="165" fontId="77" fillId="0" borderId="0" xfId="1" applyFont="1" applyFill="1" applyProtection="1"/>
    <xf numFmtId="165" fontId="77" fillId="0" borderId="0" xfId="1" applyFont="1" applyProtection="1">
      <protection locked="0"/>
    </xf>
    <xf numFmtId="0" fontId="80" fillId="0" borderId="0" xfId="0" applyFont="1"/>
    <xf numFmtId="165" fontId="3" fillId="0" borderId="0" xfId="0" applyNumberFormat="1" applyFont="1" applyAlignment="1">
      <alignment horizontal="center"/>
    </xf>
    <xf numFmtId="165" fontId="0" fillId="0" borderId="1" xfId="1" applyFont="1" applyFill="1" applyBorder="1" applyAlignment="1" applyProtection="1">
      <alignment horizontal="center"/>
    </xf>
    <xf numFmtId="165" fontId="0" fillId="0" borderId="0" xfId="1" applyFont="1" applyFill="1" applyBorder="1" applyAlignment="1" applyProtection="1">
      <alignment horizontal="center"/>
    </xf>
    <xf numFmtId="165" fontId="0" fillId="0" borderId="0" xfId="0" applyNumberFormat="1"/>
    <xf numFmtId="165" fontId="10" fillId="0" borderId="36" xfId="1" applyFont="1" applyFill="1" applyBorder="1" applyProtection="1"/>
    <xf numFmtId="165" fontId="3" fillId="0" borderId="36" xfId="1" applyFont="1" applyFill="1" applyBorder="1" applyProtection="1">
      <protection locked="0"/>
    </xf>
    <xf numFmtId="165" fontId="3" fillId="0" borderId="36" xfId="1" applyFont="1" applyFill="1" applyBorder="1" applyProtection="1"/>
    <xf numFmtId="0" fontId="11" fillId="0" borderId="1" xfId="0" applyFont="1" applyBorder="1"/>
    <xf numFmtId="14" fontId="11" fillId="0" borderId="1" xfId="0" quotePrefix="1" applyNumberFormat="1" applyFont="1" applyBorder="1" applyAlignment="1" applyProtection="1">
      <alignment horizontal="left" indent="2"/>
      <protection locked="0"/>
    </xf>
    <xf numFmtId="0" fontId="0" fillId="0" borderId="8" xfId="0" applyBorder="1" applyAlignment="1">
      <alignment horizontal="left"/>
    </xf>
    <xf numFmtId="43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0" fontId="82" fillId="0" borderId="33" xfId="0" applyFont="1" applyBorder="1"/>
    <xf numFmtId="0" fontId="3" fillId="0" borderId="2" xfId="0" applyFont="1" applyBorder="1" applyAlignment="1">
      <alignment horizontal="right"/>
    </xf>
    <xf numFmtId="0" fontId="15" fillId="0" borderId="3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83" fillId="0" borderId="0" xfId="0" applyFont="1" applyAlignment="1">
      <alignment horizontal="right" vertical="center" wrapText="1"/>
    </xf>
    <xf numFmtId="165" fontId="84" fillId="0" borderId="25" xfId="1" applyFont="1" applyBorder="1" applyAlignment="1" applyProtection="1">
      <alignment vertical="center"/>
      <protection locked="0"/>
    </xf>
    <xf numFmtId="0" fontId="3" fillId="0" borderId="8" xfId="0" applyFont="1" applyBorder="1" applyAlignment="1">
      <alignment horizontal="right"/>
    </xf>
    <xf numFmtId="165" fontId="12" fillId="0" borderId="12" xfId="1" applyFont="1" applyBorder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left"/>
    </xf>
    <xf numFmtId="0" fontId="0" fillId="0" borderId="17" xfId="0" applyBorder="1"/>
    <xf numFmtId="0" fontId="26" fillId="0" borderId="4" xfId="3" applyFont="1" applyBorder="1" applyAlignment="1">
      <alignment horizontal="center"/>
    </xf>
    <xf numFmtId="167" fontId="23" fillId="0" borderId="0" xfId="4" applyNumberFormat="1" applyFont="1" applyFill="1" applyProtection="1"/>
    <xf numFmtId="9" fontId="40" fillId="0" borderId="0" xfId="2" applyFont="1" applyFill="1" applyBorder="1" applyAlignment="1" applyProtection="1">
      <alignment horizontal="right"/>
    </xf>
    <xf numFmtId="165" fontId="40" fillId="0" borderId="0" xfId="1" applyFont="1" applyFill="1" applyBorder="1" applyAlignment="1" applyProtection="1">
      <alignment horizontal="center"/>
    </xf>
    <xf numFmtId="167" fontId="23" fillId="0" borderId="0" xfId="4" applyNumberFormat="1" applyFill="1"/>
    <xf numFmtId="165" fontId="1" fillId="0" borderId="0" xfId="1" quotePrefix="1" applyFont="1" applyFill="1" applyBorder="1" applyAlignment="1" applyProtection="1">
      <alignment horizontal="right"/>
    </xf>
    <xf numFmtId="0" fontId="3" fillId="0" borderId="0" xfId="0" quotePrefix="1" applyFont="1" applyAlignment="1">
      <alignment horizontal="left"/>
    </xf>
    <xf numFmtId="0" fontId="85" fillId="0" borderId="0" xfId="0" applyFont="1"/>
    <xf numFmtId="14" fontId="2" fillId="0" borderId="8" xfId="0" applyNumberFormat="1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165" fontId="15" fillId="0" borderId="1" xfId="1" applyFont="1" applyBorder="1" applyAlignment="1" applyProtection="1">
      <alignment horizontal="left"/>
      <protection locked="0"/>
    </xf>
    <xf numFmtId="165" fontId="0" fillId="0" borderId="5" xfId="1" applyFont="1" applyBorder="1" applyAlignment="1">
      <alignment horizontal="left"/>
    </xf>
    <xf numFmtId="0" fontId="10" fillId="0" borderId="0" xfId="0" applyFont="1" applyAlignment="1">
      <alignment horizontal="center"/>
    </xf>
    <xf numFmtId="165" fontId="0" fillId="0" borderId="2" xfId="1" applyFont="1" applyFill="1" applyBorder="1" applyAlignment="1" applyProtection="1">
      <alignment horizontal="left"/>
      <protection locked="0"/>
    </xf>
    <xf numFmtId="0" fontId="14" fillId="2" borderId="1" xfId="0" applyFont="1" applyFill="1" applyBorder="1" applyAlignment="1">
      <alignment horizontal="center"/>
    </xf>
    <xf numFmtId="165" fontId="18" fillId="0" borderId="0" xfId="1" applyFont="1" applyBorder="1" applyAlignment="1">
      <alignment horizontal="center"/>
    </xf>
    <xf numFmtId="0" fontId="10" fillId="0" borderId="1" xfId="0" applyFont="1" applyBorder="1"/>
    <xf numFmtId="165" fontId="19" fillId="0" borderId="11" xfId="1" applyFont="1" applyBorder="1" applyAlignment="1">
      <alignment horizontal="left"/>
    </xf>
    <xf numFmtId="165" fontId="6" fillId="0" borderId="0" xfId="1" applyFont="1" applyAlignment="1">
      <alignment horizontal="left"/>
    </xf>
    <xf numFmtId="14" fontId="0" fillId="0" borderId="0" xfId="0" quotePrefix="1" applyNumberFormat="1" applyAlignment="1" applyProtection="1">
      <alignment horizontal="right"/>
      <protection locked="0"/>
    </xf>
    <xf numFmtId="0" fontId="23" fillId="0" borderId="0" xfId="3" applyAlignment="1">
      <alignment horizontal="right"/>
    </xf>
    <xf numFmtId="165" fontId="3" fillId="0" borderId="1" xfId="0" applyNumberFormat="1" applyFont="1" applyBorder="1"/>
    <xf numFmtId="0" fontId="10" fillId="0" borderId="0" xfId="0" applyFont="1" applyAlignment="1">
      <alignment horizontal="left" indent="2"/>
    </xf>
    <xf numFmtId="0" fontId="0" fillId="0" borderId="34" xfId="0" applyBorder="1"/>
    <xf numFmtId="1" fontId="0" fillId="0" borderId="0" xfId="0" applyNumberFormat="1" applyAlignment="1">
      <alignment horizontal="center"/>
    </xf>
    <xf numFmtId="164" fontId="12" fillId="0" borderId="0" xfId="0" applyNumberFormat="1" applyFont="1"/>
    <xf numFmtId="0" fontId="41" fillId="0" borderId="0" xfId="3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2" xfId="0" applyBorder="1" applyAlignment="1">
      <alignment horizontal="center"/>
    </xf>
    <xf numFmtId="14" fontId="2" fillId="0" borderId="0" xfId="0" applyNumberFormat="1" applyFont="1"/>
    <xf numFmtId="3" fontId="23" fillId="0" borderId="18" xfId="1" applyNumberFormat="1" applyFont="1" applyFill="1" applyBorder="1" applyAlignment="1">
      <alignment horizontal="right" indent="3"/>
    </xf>
    <xf numFmtId="0" fontId="23" fillId="0" borderId="2" xfId="3" applyBorder="1" applyAlignment="1">
      <alignment horizontal="center"/>
    </xf>
    <xf numFmtId="3" fontId="23" fillId="0" borderId="3" xfId="1" applyNumberFormat="1" applyFont="1" applyFill="1" applyBorder="1" applyAlignment="1">
      <alignment horizontal="right" indent="3"/>
    </xf>
    <xf numFmtId="3" fontId="23" fillId="0" borderId="0" xfId="4" applyNumberFormat="1" applyFill="1" applyAlignment="1">
      <alignment horizontal="right" indent="3"/>
    </xf>
    <xf numFmtId="9" fontId="23" fillId="0" borderId="27" xfId="3" applyNumberFormat="1" applyBorder="1" applyAlignment="1">
      <alignment horizontal="center"/>
    </xf>
    <xf numFmtId="0" fontId="23" fillId="0" borderId="0" xfId="3" applyAlignment="1">
      <alignment horizontal="left" indent="2"/>
    </xf>
    <xf numFmtId="3" fontId="23" fillId="0" borderId="21" xfId="3" applyNumberFormat="1" applyBorder="1" applyAlignment="1">
      <alignment horizontal="right" indent="2"/>
    </xf>
    <xf numFmtId="3" fontId="23" fillId="0" borderId="20" xfId="1" applyNumberFormat="1" applyFont="1" applyFill="1" applyBorder="1" applyAlignment="1">
      <alignment horizontal="right" indent="3"/>
    </xf>
    <xf numFmtId="0" fontId="23" fillId="0" borderId="0" xfId="3" applyAlignment="1">
      <alignment horizontal="center"/>
    </xf>
    <xf numFmtId="3" fontId="23" fillId="0" borderId="25" xfId="1" applyNumberFormat="1" applyFont="1" applyFill="1" applyBorder="1" applyAlignment="1">
      <alignment horizontal="right" indent="3"/>
    </xf>
    <xf numFmtId="3" fontId="23" fillId="0" borderId="21" xfId="4" applyNumberFormat="1" applyFill="1" applyBorder="1" applyAlignment="1">
      <alignment horizontal="right" indent="2"/>
    </xf>
    <xf numFmtId="3" fontId="23" fillId="0" borderId="28" xfId="1" applyNumberFormat="1" applyFont="1" applyFill="1" applyBorder="1" applyAlignment="1">
      <alignment horizontal="right" indent="3"/>
    </xf>
    <xf numFmtId="0" fontId="23" fillId="0" borderId="8" xfId="3" applyBorder="1" applyAlignment="1">
      <alignment horizontal="center"/>
    </xf>
    <xf numFmtId="3" fontId="23" fillId="0" borderId="9" xfId="1" applyNumberFormat="1" applyFont="1" applyFill="1" applyBorder="1" applyAlignment="1">
      <alignment horizontal="right" indent="3"/>
    </xf>
    <xf numFmtId="3" fontId="23" fillId="0" borderId="8" xfId="4" applyNumberFormat="1" applyFill="1" applyBorder="1" applyAlignment="1">
      <alignment horizontal="right" indent="3"/>
    </xf>
    <xf numFmtId="9" fontId="23" fillId="0" borderId="7" xfId="3" applyNumberFormat="1" applyBorder="1" applyAlignment="1">
      <alignment horizontal="center"/>
    </xf>
    <xf numFmtId="0" fontId="23" fillId="0" borderId="8" xfId="3" applyBorder="1" applyAlignment="1">
      <alignment horizontal="left" indent="2"/>
    </xf>
    <xf numFmtId="3" fontId="23" fillId="0" borderId="29" xfId="4" applyNumberFormat="1" applyFill="1" applyBorder="1" applyAlignment="1">
      <alignment horizontal="right" indent="2"/>
    </xf>
    <xf numFmtId="0" fontId="0" fillId="0" borderId="20" xfId="0" applyBorder="1"/>
    <xf numFmtId="0" fontId="0" fillId="0" borderId="21" xfId="0" applyBorder="1"/>
    <xf numFmtId="0" fontId="26" fillId="0" borderId="0" xfId="3" applyFont="1" applyAlignment="1">
      <alignment horizontal="right"/>
    </xf>
    <xf numFmtId="3" fontId="26" fillId="0" borderId="0" xfId="4" applyNumberFormat="1" applyFont="1" applyFill="1" applyAlignment="1">
      <alignment horizontal="right" indent="3"/>
    </xf>
    <xf numFmtId="0" fontId="27" fillId="0" borderId="0" xfId="3" applyFont="1" applyAlignment="1">
      <alignment horizontal="right"/>
    </xf>
    <xf numFmtId="167" fontId="27" fillId="0" borderId="21" xfId="4" applyNumberFormat="1" applyFont="1" applyFill="1" applyBorder="1"/>
    <xf numFmtId="0" fontId="81" fillId="0" borderId="0" xfId="3" applyFont="1" applyAlignment="1">
      <alignment horizontal="right"/>
    </xf>
    <xf numFmtId="0" fontId="0" fillId="0" borderId="22" xfId="0" applyBorder="1"/>
    <xf numFmtId="0" fontId="81" fillId="0" borderId="23" xfId="3" applyFont="1" applyBorder="1" applyAlignment="1">
      <alignment horizontal="right"/>
    </xf>
    <xf numFmtId="0" fontId="23" fillId="0" borderId="23" xfId="3" applyBorder="1" applyAlignment="1">
      <alignment horizontal="center"/>
    </xf>
    <xf numFmtId="3" fontId="26" fillId="0" borderId="23" xfId="4" applyNumberFormat="1" applyFont="1" applyFill="1" applyBorder="1" applyAlignment="1">
      <alignment horizontal="right" indent="3"/>
    </xf>
    <xf numFmtId="0" fontId="23" fillId="0" borderId="23" xfId="3" applyBorder="1"/>
    <xf numFmtId="0" fontId="27" fillId="0" borderId="23" xfId="3" applyFont="1" applyBorder="1" applyAlignment="1">
      <alignment horizontal="right"/>
    </xf>
    <xf numFmtId="167" fontId="27" fillId="0" borderId="24" xfId="4" applyNumberFormat="1" applyFont="1" applyFill="1" applyBorder="1"/>
    <xf numFmtId="165" fontId="23" fillId="0" borderId="0" xfId="4" applyFill="1"/>
    <xf numFmtId="0" fontId="26" fillId="0" borderId="4" xfId="3" applyFont="1" applyBorder="1" applyAlignment="1">
      <alignment horizontal="center"/>
    </xf>
    <xf numFmtId="0" fontId="26" fillId="0" borderId="5" xfId="3" applyFont="1" applyBorder="1" applyAlignment="1">
      <alignment horizontal="center"/>
    </xf>
    <xf numFmtId="0" fontId="26" fillId="0" borderId="19" xfId="3" applyFont="1" applyBorder="1" applyAlignment="1">
      <alignment horizontal="center"/>
    </xf>
    <xf numFmtId="0" fontId="26" fillId="0" borderId="18" xfId="3" applyFont="1" applyBorder="1" applyAlignment="1">
      <alignment horizontal="center"/>
    </xf>
    <xf numFmtId="0" fontId="26" fillId="0" borderId="2" xfId="3" applyFont="1" applyBorder="1" applyAlignment="1">
      <alignment horizontal="center"/>
    </xf>
    <xf numFmtId="0" fontId="26" fillId="0" borderId="3" xfId="3" applyFont="1" applyBorder="1" applyAlignment="1">
      <alignment horizontal="center"/>
    </xf>
    <xf numFmtId="0" fontId="25" fillId="0" borderId="15" xfId="3" applyFont="1" applyBorder="1" applyAlignment="1">
      <alignment horizontal="center"/>
    </xf>
    <xf numFmtId="0" fontId="25" fillId="0" borderId="16" xfId="3" applyFont="1" applyBorder="1" applyAlignment="1">
      <alignment horizontal="center"/>
    </xf>
    <xf numFmtId="0" fontId="25" fillId="0" borderId="17" xfId="3" applyFont="1" applyBorder="1" applyAlignment="1">
      <alignment horizontal="center"/>
    </xf>
    <xf numFmtId="0" fontId="24" fillId="0" borderId="22" xfId="3" applyFont="1" applyBorder="1" applyAlignment="1">
      <alignment horizontal="center"/>
    </xf>
    <xf numFmtId="0" fontId="24" fillId="0" borderId="23" xfId="3" applyFont="1" applyBorder="1" applyAlignment="1">
      <alignment horizontal="center"/>
    </xf>
    <xf numFmtId="0" fontId="24" fillId="0" borderId="24" xfId="3" applyFont="1" applyBorder="1" applyAlignment="1">
      <alignment horizontal="center"/>
    </xf>
    <xf numFmtId="0" fontId="25" fillId="0" borderId="30" xfId="3" applyFont="1" applyBorder="1" applyAlignment="1">
      <alignment horizontal="center"/>
    </xf>
    <xf numFmtId="0" fontId="25" fillId="0" borderId="31" xfId="3" applyFont="1" applyBorder="1" applyAlignment="1">
      <alignment horizontal="center"/>
    </xf>
    <xf numFmtId="0" fontId="25" fillId="0" borderId="32" xfId="3" applyFont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13" fillId="3" borderId="30" xfId="0" applyFont="1" applyFill="1" applyBorder="1" applyAlignment="1">
      <alignment horizontal="center" wrapText="1"/>
    </xf>
    <xf numFmtId="0" fontId="13" fillId="3" borderId="32" xfId="0" applyFont="1" applyFill="1" applyBorder="1" applyAlignment="1">
      <alignment horizontal="center" wrapText="1"/>
    </xf>
    <xf numFmtId="0" fontId="49" fillId="3" borderId="16" xfId="0" applyFont="1" applyFill="1" applyBorder="1" applyAlignment="1">
      <alignment horizontal="center" wrapText="1"/>
    </xf>
    <xf numFmtId="9" fontId="50" fillId="0" borderId="4" xfId="2" applyFont="1" applyFill="1" applyBorder="1" applyAlignment="1" applyProtection="1">
      <alignment horizontal="right" indent="3"/>
    </xf>
    <xf numFmtId="9" fontId="50" fillId="0" borderId="5" xfId="2" applyFont="1" applyFill="1" applyBorder="1" applyAlignment="1" applyProtection="1">
      <alignment horizontal="right" indent="3"/>
    </xf>
    <xf numFmtId="9" fontId="50" fillId="0" borderId="6" xfId="2" applyFont="1" applyFill="1" applyBorder="1" applyAlignment="1" applyProtection="1">
      <alignment horizontal="right" indent="3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wrapText="1"/>
    </xf>
    <xf numFmtId="0" fontId="65" fillId="0" borderId="27" xfId="0" applyFont="1" applyBorder="1" applyAlignment="1" applyProtection="1">
      <alignment horizontal="left" vertical="center" wrapText="1"/>
      <protection locked="0"/>
    </xf>
    <xf numFmtId="0" fontId="65" fillId="0" borderId="0" xfId="0" applyFont="1" applyAlignment="1" applyProtection="1">
      <alignment horizontal="left" vertical="center" wrapText="1"/>
      <protection locked="0"/>
    </xf>
    <xf numFmtId="165" fontId="0" fillId="0" borderId="37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18" fillId="0" borderId="0" xfId="0" quotePrefix="1" applyFont="1" applyAlignment="1">
      <alignment horizontal="center"/>
    </xf>
    <xf numFmtId="0" fontId="7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3" xr:uid="{00000000-0005-0000-0000-000003000000}"/>
    <cellStyle name="Percent" xfId="2" builtinId="5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4</xdr:col>
      <xdr:colOff>532101</xdr:colOff>
      <xdr:row>10</xdr:row>
      <xdr:rowOff>164523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7834745" y="408709"/>
          <a:ext cx="1536556" cy="1605396"/>
          <a:chOff x="7306109" y="540326"/>
          <a:chExt cx="1510578" cy="1498023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7306109" y="541193"/>
            <a:ext cx="1506681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Straight Arrow Connecto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8816687" y="540326"/>
            <a:ext cx="0" cy="1498023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0</xdr:colOff>
      <xdr:row>38</xdr:row>
      <xdr:rowOff>0</xdr:rowOff>
    </xdr:from>
    <xdr:to>
      <xdr:col>2</xdr:col>
      <xdr:colOff>3487373</xdr:colOff>
      <xdr:row>61</xdr:row>
      <xdr:rowOff>113739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02977"/>
          <a:ext cx="4076191" cy="4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43297</xdr:rowOff>
    </xdr:from>
    <xdr:to>
      <xdr:col>2</xdr:col>
      <xdr:colOff>3573087</xdr:colOff>
      <xdr:row>79</xdr:row>
      <xdr:rowOff>42868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927774"/>
          <a:ext cx="4161905" cy="3428572"/>
        </a:xfrm>
        <a:prstGeom prst="rect">
          <a:avLst/>
        </a:prstGeom>
      </xdr:spPr>
    </xdr:pic>
    <xdr:clientData/>
  </xdr:twoCellAnchor>
  <xdr:twoCellAnchor editAs="oneCell">
    <xdr:from>
      <xdr:col>2</xdr:col>
      <xdr:colOff>4537363</xdr:colOff>
      <xdr:row>38</xdr:row>
      <xdr:rowOff>147205</xdr:rowOff>
    </xdr:from>
    <xdr:to>
      <xdr:col>4</xdr:col>
      <xdr:colOff>650649</xdr:colOff>
      <xdr:row>50</xdr:row>
      <xdr:rowOff>51682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6181" y="6650182"/>
          <a:ext cx="4114286" cy="21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670891</xdr:colOff>
      <xdr:row>25</xdr:row>
      <xdr:rowOff>24848</xdr:rowOff>
    </xdr:from>
    <xdr:to>
      <xdr:col>5</xdr:col>
      <xdr:colOff>894522</xdr:colOff>
      <xdr:row>32</xdr:row>
      <xdr:rowOff>149087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385891" y="5507935"/>
          <a:ext cx="223631" cy="145773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72"/>
  <sheetViews>
    <sheetView tabSelected="1" topLeftCell="A21" zoomScale="120" zoomScaleNormal="120" workbookViewId="0">
      <selection activeCell="D25" sqref="D25"/>
    </sheetView>
  </sheetViews>
  <sheetFormatPr defaultColWidth="9.109375" defaultRowHeight="14.4" x14ac:dyDescent="0.3"/>
  <cols>
    <col min="1" max="1" width="14.6640625" style="5" customWidth="1"/>
    <col min="2" max="2" width="42.5546875" style="5" customWidth="1"/>
    <col min="3" max="3" width="10.5546875" style="5" bestFit="1" customWidth="1"/>
    <col min="4" max="4" width="13.44140625" style="5" bestFit="1" customWidth="1"/>
    <col min="5" max="5" width="11.88671875" style="5" customWidth="1"/>
    <col min="6" max="6" width="41.5546875" style="5" customWidth="1"/>
    <col min="7" max="7" width="10.5546875" style="5" bestFit="1" customWidth="1"/>
    <col min="8" max="8" width="20.109375" style="5" customWidth="1"/>
    <col min="9" max="9" width="12.33203125" style="5" customWidth="1"/>
    <col min="10" max="10" width="37.44140625" style="5" bestFit="1" customWidth="1"/>
    <col min="11" max="16384" width="9.109375" style="5"/>
  </cols>
  <sheetData>
    <row r="1" spans="1:7" ht="26.4" thickBot="1" x14ac:dyDescent="0.55000000000000004">
      <c r="A1" s="130" t="s">
        <v>361</v>
      </c>
      <c r="B1" s="131"/>
      <c r="C1" s="28"/>
      <c r="D1"/>
      <c r="E1"/>
      <c r="F1"/>
    </row>
    <row r="2" spans="1:7" ht="26.25" customHeight="1" thickBot="1" x14ac:dyDescent="0.4">
      <c r="A2" s="40"/>
      <c r="B2" s="28"/>
      <c r="C2" s="395" t="s">
        <v>214</v>
      </c>
      <c r="D2" s="396"/>
      <c r="E2" s="391" t="s">
        <v>26</v>
      </c>
      <c r="F2" s="391"/>
    </row>
    <row r="3" spans="1:7" ht="17.399999999999999" x14ac:dyDescent="0.3">
      <c r="A3" s="316" t="s">
        <v>352</v>
      </c>
      <c r="B3" s="317">
        <v>46112</v>
      </c>
      <c r="C3" s="397" t="s">
        <v>213</v>
      </c>
      <c r="D3" s="397"/>
      <c r="E3" s="49"/>
      <c r="F3" s="49"/>
    </row>
    <row r="4" spans="1:7" ht="7.5" customHeight="1" x14ac:dyDescent="0.35">
      <c r="A4" s="40"/>
      <c r="B4" s="28"/>
      <c r="C4" s="132"/>
      <c r="D4"/>
      <c r="E4"/>
      <c r="F4"/>
    </row>
    <row r="5" spans="1:7" x14ac:dyDescent="0.3">
      <c r="A5" s="9" t="s">
        <v>242</v>
      </c>
      <c r="B5" s="7"/>
      <c r="C5" s="12" t="s">
        <v>20</v>
      </c>
      <c r="D5"/>
      <c r="E5"/>
      <c r="F5"/>
    </row>
    <row r="6" spans="1:7" x14ac:dyDescent="0.3">
      <c r="A6" s="9" t="s">
        <v>236</v>
      </c>
      <c r="B6" s="7"/>
      <c r="C6" s="12" t="s">
        <v>20</v>
      </c>
      <c r="D6"/>
      <c r="E6"/>
      <c r="F6"/>
    </row>
    <row r="7" spans="1:7" x14ac:dyDescent="0.3">
      <c r="A7" s="9" t="s">
        <v>12</v>
      </c>
      <c r="B7" s="293"/>
      <c r="C7" s="12" t="s">
        <v>20</v>
      </c>
      <c r="D7" s="30">
        <f>ROUNDDOWN(YEARFRAC(B3,$B$7),0)</f>
        <v>126</v>
      </c>
      <c r="E7" s="133" t="s">
        <v>221</v>
      </c>
      <c r="F7"/>
    </row>
    <row r="8" spans="1:7" x14ac:dyDescent="0.3">
      <c r="A8"/>
      <c r="B8"/>
      <c r="C8"/>
      <c r="D8" s="134"/>
      <c r="E8"/>
      <c r="F8"/>
    </row>
    <row r="9" spans="1:7" ht="30" customHeight="1" x14ac:dyDescent="0.3">
      <c r="A9" s="168" t="s">
        <v>251</v>
      </c>
      <c r="B9" s="401" t="s">
        <v>256</v>
      </c>
      <c r="C9" s="402"/>
      <c r="D9" s="167" t="s">
        <v>255</v>
      </c>
      <c r="E9"/>
      <c r="F9"/>
    </row>
    <row r="10" spans="1:7" x14ac:dyDescent="0.3">
      <c r="A10"/>
      <c r="B10" s="292" t="s">
        <v>252</v>
      </c>
      <c r="C10" s="12" t="s">
        <v>216</v>
      </c>
      <c r="D10" s="173">
        <f>+D25*G10</f>
        <v>0</v>
      </c>
      <c r="E10" t="s">
        <v>356</v>
      </c>
      <c r="F10"/>
      <c r="G10" s="296">
        <v>1.001E-2</v>
      </c>
    </row>
    <row r="11" spans="1:7" x14ac:dyDescent="0.3">
      <c r="A11"/>
      <c r="B11" s="292" t="s">
        <v>253</v>
      </c>
      <c r="C11" s="12" t="s">
        <v>216</v>
      </c>
      <c r="D11" s="173"/>
      <c r="E11"/>
      <c r="F11"/>
      <c r="G11" s="296"/>
    </row>
    <row r="12" spans="1:7" ht="15" thickBot="1" x14ac:dyDescent="0.35">
      <c r="A12"/>
      <c r="B12" s="292" t="s">
        <v>254</v>
      </c>
      <c r="C12" s="12" t="s">
        <v>216</v>
      </c>
      <c r="D12" s="174">
        <v>0</v>
      </c>
      <c r="E12"/>
      <c r="F12"/>
    </row>
    <row r="13" spans="1:7" ht="15.6" thickTop="1" thickBot="1" x14ac:dyDescent="0.35">
      <c r="A13"/>
      <c r="B13" s="169"/>
      <c r="C13" s="115"/>
      <c r="D13" s="230">
        <f>SUM(D10:D12)</f>
        <v>0</v>
      </c>
      <c r="E13"/>
      <c r="F13"/>
    </row>
    <row r="14" spans="1:7" ht="15" thickTop="1" x14ac:dyDescent="0.3">
      <c r="A14"/>
      <c r="B14"/>
      <c r="C14"/>
      <c r="D14" s="134"/>
      <c r="E14"/>
      <c r="F14"/>
    </row>
    <row r="15" spans="1:7" x14ac:dyDescent="0.3">
      <c r="A15"/>
      <c r="B15"/>
      <c r="C15"/>
      <c r="D15" s="167" t="s">
        <v>255</v>
      </c>
      <c r="E15"/>
      <c r="F15"/>
    </row>
    <row r="16" spans="1:7" x14ac:dyDescent="0.3">
      <c r="A16" s="13" t="s">
        <v>29</v>
      </c>
      <c r="B16" s="392" t="s">
        <v>34</v>
      </c>
      <c r="C16" s="393"/>
      <c r="D16" s="393"/>
      <c r="E16" s="28" t="s">
        <v>230</v>
      </c>
      <c r="F16"/>
    </row>
    <row r="17" spans="1:9" ht="24.6" x14ac:dyDescent="0.3">
      <c r="A17" s="26"/>
      <c r="B17" s="398" t="s">
        <v>235</v>
      </c>
      <c r="C17" s="399"/>
      <c r="D17" s="400"/>
      <c r="E17" s="149" t="s">
        <v>231</v>
      </c>
      <c r="F17" s="146"/>
      <c r="I17" s="38"/>
    </row>
    <row r="18" spans="1:9" x14ac:dyDescent="0.3">
      <c r="A18"/>
      <c r="B18" s="14" t="s">
        <v>32</v>
      </c>
      <c r="C18" s="15" t="s">
        <v>19</v>
      </c>
      <c r="D18" s="8"/>
      <c r="E18" s="154"/>
      <c r="F18"/>
      <c r="G18" s="295"/>
    </row>
    <row r="19" spans="1:9" x14ac:dyDescent="0.3">
      <c r="A19"/>
      <c r="B19" s="14" t="s">
        <v>31</v>
      </c>
      <c r="C19" s="15" t="s">
        <v>19</v>
      </c>
      <c r="D19" s="8"/>
      <c r="E19" s="154"/>
      <c r="F19"/>
    </row>
    <row r="20" spans="1:9" ht="15" thickBot="1" x14ac:dyDescent="0.35">
      <c r="A20"/>
      <c r="B20" s="16" t="s">
        <v>30</v>
      </c>
      <c r="C20" s="12" t="s">
        <v>19</v>
      </c>
      <c r="D20" s="171"/>
      <c r="E20" s="155"/>
      <c r="F20"/>
    </row>
    <row r="21" spans="1:9" ht="15.6" thickTop="1" thickBot="1" x14ac:dyDescent="0.35">
      <c r="A21"/>
      <c r="B21" s="41"/>
      <c r="C21" s="115"/>
      <c r="D21" s="231">
        <f>SUM(D18:D20)</f>
        <v>0</v>
      </c>
      <c r="E21" s="170"/>
      <c r="F21"/>
    </row>
    <row r="22" spans="1:9" ht="15" thickTop="1" x14ac:dyDescent="0.3">
      <c r="A22"/>
      <c r="B22" s="16" t="s">
        <v>33</v>
      </c>
      <c r="C22" s="12" t="s">
        <v>19</v>
      </c>
      <c r="D22" s="172"/>
      <c r="E22"/>
      <c r="F22"/>
    </row>
    <row r="23" spans="1:9" x14ac:dyDescent="0.3">
      <c r="A23" s="26"/>
      <c r="B23" s="116"/>
      <c r="C23" s="115"/>
      <c r="D23" s="135"/>
      <c r="E23"/>
      <c r="F23" s="136"/>
    </row>
    <row r="24" spans="1:9" ht="21.75" customHeight="1" x14ac:dyDescent="0.3">
      <c r="A24" s="388" t="s">
        <v>21</v>
      </c>
      <c r="B24" s="389"/>
      <c r="C24" s="390"/>
      <c r="D24" s="17" t="s">
        <v>0</v>
      </c>
      <c r="E24"/>
      <c r="F24"/>
    </row>
    <row r="25" spans="1:9" x14ac:dyDescent="0.3">
      <c r="A25" t="s">
        <v>6</v>
      </c>
      <c r="B25" s="18" t="s">
        <v>240</v>
      </c>
      <c r="C25" s="15" t="s">
        <v>19</v>
      </c>
      <c r="D25" s="233"/>
      <c r="E25"/>
      <c r="F25"/>
    </row>
    <row r="26" spans="1:9" ht="16.2" x14ac:dyDescent="0.3">
      <c r="A26" t="s">
        <v>241</v>
      </c>
      <c r="B26" s="18" t="s">
        <v>237</v>
      </c>
      <c r="C26" s="158" t="s">
        <v>358</v>
      </c>
      <c r="D26" s="150">
        <f>IF(C26="JA (1xpj)",D25/12,IF(C26="JA (per mnd)",D25/12,IF(C26="NEE",0,IF(C26="Eie Bedrag",E26))))</f>
        <v>0</v>
      </c>
      <c r="E26" s="159"/>
      <c r="F26" s="151" t="s">
        <v>238</v>
      </c>
      <c r="G26" s="153">
        <f>IF(C26="JA (per mnd)",D26,0)</f>
        <v>0</v>
      </c>
      <c r="H26" s="152" t="s">
        <v>239</v>
      </c>
    </row>
    <row r="27" spans="1:9" x14ac:dyDescent="0.3">
      <c r="A27" t="s">
        <v>1</v>
      </c>
      <c r="B27" s="114" t="s">
        <v>357</v>
      </c>
      <c r="C27" s="11" t="s">
        <v>18</v>
      </c>
      <c r="D27" s="129">
        <f>IF(B27="GRATIS HUIS","Byvoordeelbelasting",IF(B27="GEEN",0,IF(B27="HUISTOELAE",E27)))</f>
        <v>0</v>
      </c>
      <c r="E27" s="139"/>
      <c r="F27"/>
    </row>
    <row r="28" spans="1:9" ht="15" thickBot="1" x14ac:dyDescent="0.35">
      <c r="A28" t="s">
        <v>7</v>
      </c>
      <c r="B28" s="114" t="s">
        <v>2</v>
      </c>
      <c r="C28" s="11" t="s">
        <v>18</v>
      </c>
      <c r="D28" s="31">
        <f>IF(B28="VOERTUIG- EN VERVOERTOELAE",E28,IF(B28="WERKSMOTOR VIR PRIVAAT &amp; WERK","Byvoordeelbelasting",IF(B28="GEEN",0)))</f>
        <v>0</v>
      </c>
      <c r="E28" s="140"/>
      <c r="F28"/>
    </row>
    <row r="29" spans="1:9" ht="15" thickBot="1" x14ac:dyDescent="0.35">
      <c r="A29" t="s">
        <v>217</v>
      </c>
      <c r="B29" s="159" t="s">
        <v>347</v>
      </c>
      <c r="C29" s="12" t="s">
        <v>216</v>
      </c>
      <c r="D29" s="139"/>
      <c r="E29"/>
      <c r="F29"/>
    </row>
    <row r="30" spans="1:9" ht="15.6" thickTop="1" thickBot="1" x14ac:dyDescent="0.35">
      <c r="A30"/>
      <c r="B30" s="73"/>
      <c r="C30" s="23" t="s">
        <v>23</v>
      </c>
      <c r="D30" s="128">
        <f>SUM(D25:D29)</f>
        <v>0</v>
      </c>
      <c r="E30"/>
      <c r="F30"/>
    </row>
    <row r="31" spans="1:9" ht="21.75" customHeight="1" thickTop="1" x14ac:dyDescent="0.3">
      <c r="A31" s="388" t="s">
        <v>11</v>
      </c>
      <c r="B31" s="394"/>
      <c r="C31" s="390"/>
      <c r="D31" s="19" t="s">
        <v>0</v>
      </c>
      <c r="E31"/>
      <c r="F31"/>
    </row>
    <row r="32" spans="1:9" x14ac:dyDescent="0.3">
      <c r="A32" t="s">
        <v>8</v>
      </c>
      <c r="B32" s="20" t="s">
        <v>14</v>
      </c>
      <c r="C32" s="12" t="s">
        <v>19</v>
      </c>
      <c r="D32" s="139"/>
      <c r="E32"/>
      <c r="F32"/>
    </row>
    <row r="33" spans="1:7" x14ac:dyDescent="0.3">
      <c r="A33" t="s">
        <v>226</v>
      </c>
      <c r="B33" s="20" t="s">
        <v>222</v>
      </c>
      <c r="C33" s="12" t="s">
        <v>19</v>
      </c>
      <c r="D33" s="139">
        <f>+D25*G33</f>
        <v>0</v>
      </c>
      <c r="E33"/>
      <c r="F33"/>
      <c r="G33" s="296">
        <v>0.1246</v>
      </c>
    </row>
    <row r="34" spans="1:7" x14ac:dyDescent="0.3">
      <c r="A34" t="s">
        <v>9</v>
      </c>
      <c r="B34" s="10" t="s">
        <v>223</v>
      </c>
      <c r="C34" s="12" t="s">
        <v>19</v>
      </c>
      <c r="D34" s="139">
        <f>+D25*G34</f>
        <v>0</v>
      </c>
      <c r="E34" s="28"/>
      <c r="F34"/>
      <c r="G34" s="296">
        <v>2.2000000000000001E-3</v>
      </c>
    </row>
    <row r="35" spans="1:7" x14ac:dyDescent="0.3">
      <c r="A35" t="s">
        <v>10</v>
      </c>
      <c r="B35" s="10" t="s">
        <v>232</v>
      </c>
      <c r="C35" s="21" t="s">
        <v>17</v>
      </c>
      <c r="D35" s="32">
        <f>+E18</f>
        <v>0</v>
      </c>
      <c r="E35"/>
      <c r="F35"/>
      <c r="G35" s="296"/>
    </row>
    <row r="36" spans="1:7" x14ac:dyDescent="0.3">
      <c r="A36" t="s">
        <v>28</v>
      </c>
      <c r="B36" s="22" t="s">
        <v>233</v>
      </c>
      <c r="C36" s="21" t="s">
        <v>17</v>
      </c>
      <c r="D36" s="32">
        <f>+E19</f>
        <v>0</v>
      </c>
      <c r="E36"/>
      <c r="F36"/>
      <c r="G36" s="296"/>
    </row>
    <row r="37" spans="1:7" ht="15" thickBot="1" x14ac:dyDescent="0.35">
      <c r="A37" t="s">
        <v>27</v>
      </c>
      <c r="B37" s="22" t="s">
        <v>234</v>
      </c>
      <c r="C37" s="21" t="s">
        <v>17</v>
      </c>
      <c r="D37" s="32">
        <f>+E20</f>
        <v>0</v>
      </c>
      <c r="E37"/>
      <c r="F37"/>
      <c r="G37" s="296"/>
    </row>
    <row r="38" spans="1:7" ht="15.6" thickTop="1" thickBot="1" x14ac:dyDescent="0.35">
      <c r="A38"/>
      <c r="B38" s="81"/>
      <c r="C38" s="23" t="s">
        <v>23</v>
      </c>
      <c r="D38" s="24">
        <f>SUM(D32:D37)</f>
        <v>0</v>
      </c>
      <c r="E38"/>
      <c r="F38"/>
      <c r="G38" s="296"/>
    </row>
    <row r="39" spans="1:7" ht="15" thickTop="1" x14ac:dyDescent="0.3">
      <c r="A39" s="79"/>
      <c r="C39" s="321"/>
      <c r="D39" s="322"/>
      <c r="E39"/>
      <c r="F39"/>
      <c r="G39" s="296"/>
    </row>
    <row r="40" spans="1:7" x14ac:dyDescent="0.3">
      <c r="A40" s="403" t="s">
        <v>353</v>
      </c>
      <c r="B40" s="404"/>
      <c r="C40" s="405"/>
      <c r="D40" s="323" t="s">
        <v>0</v>
      </c>
      <c r="E40" s="141"/>
    </row>
    <row r="41" spans="1:7" x14ac:dyDescent="0.3">
      <c r="A41" s="79" t="s">
        <v>354</v>
      </c>
      <c r="B41" s="318" t="s">
        <v>355</v>
      </c>
      <c r="C41" s="12" t="s">
        <v>216</v>
      </c>
      <c r="D41" s="319"/>
      <c r="E41" s="141"/>
    </row>
    <row r="42" spans="1:7" x14ac:dyDescent="0.3">
      <c r="A42"/>
      <c r="B42" s="73"/>
      <c r="C42" s="161"/>
      <c r="D42" s="320"/>
      <c r="E42" s="141"/>
    </row>
    <row r="43" spans="1:7" ht="21.75" customHeight="1" x14ac:dyDescent="0.3">
      <c r="A43" s="388" t="s">
        <v>25</v>
      </c>
      <c r="B43" s="394"/>
      <c r="C43" s="390"/>
      <c r="D43" s="33" t="s">
        <v>0</v>
      </c>
      <c r="E43"/>
      <c r="F43"/>
      <c r="G43" s="296"/>
    </row>
    <row r="44" spans="1:7" x14ac:dyDescent="0.3">
      <c r="A44" t="s">
        <v>8</v>
      </c>
      <c r="B44" s="20" t="s">
        <v>15</v>
      </c>
      <c r="C44" s="12" t="s">
        <v>19</v>
      </c>
      <c r="D44" s="139"/>
      <c r="E44" s="28"/>
      <c r="F44"/>
    </row>
    <row r="45" spans="1:7" x14ac:dyDescent="0.3">
      <c r="A45" t="s">
        <v>8</v>
      </c>
      <c r="B45" s="20" t="s">
        <v>220</v>
      </c>
      <c r="C45" s="15" t="s">
        <v>19</v>
      </c>
      <c r="D45" s="142"/>
      <c r="E45" s="141"/>
      <c r="F45" s="143"/>
      <c r="G45" s="296"/>
    </row>
    <row r="46" spans="1:7" x14ac:dyDescent="0.3">
      <c r="A46" t="s">
        <v>226</v>
      </c>
      <c r="B46" s="20" t="s">
        <v>225</v>
      </c>
      <c r="C46" s="12" t="s">
        <v>19</v>
      </c>
      <c r="D46" s="139">
        <f>+D25*G46</f>
        <v>0</v>
      </c>
      <c r="E46" s="28"/>
      <c r="F46"/>
      <c r="G46" s="296">
        <v>8.1199999999999994E-2</v>
      </c>
    </row>
    <row r="47" spans="1:7" x14ac:dyDescent="0.3">
      <c r="A47" t="s">
        <v>226</v>
      </c>
      <c r="B47" s="20" t="s">
        <v>227</v>
      </c>
      <c r="C47" s="15" t="s">
        <v>19</v>
      </c>
      <c r="D47" s="142"/>
      <c r="E47" s="141"/>
      <c r="F47" s="147"/>
    </row>
    <row r="48" spans="1:7" x14ac:dyDescent="0.3">
      <c r="A48" t="s">
        <v>244</v>
      </c>
      <c r="B48" s="20" t="s">
        <v>245</v>
      </c>
      <c r="C48" s="12" t="s">
        <v>19</v>
      </c>
      <c r="D48" s="139"/>
      <c r="E48"/>
      <c r="F48"/>
      <c r="G48" s="296"/>
    </row>
    <row r="49" spans="1:7" x14ac:dyDescent="0.3">
      <c r="A49" t="s">
        <v>9</v>
      </c>
      <c r="B49" s="10" t="s">
        <v>224</v>
      </c>
      <c r="C49" s="12" t="s">
        <v>19</v>
      </c>
      <c r="D49" s="139">
        <f>+D34</f>
        <v>0</v>
      </c>
      <c r="E49" s="28"/>
      <c r="F49"/>
      <c r="G49" s="296">
        <f>+G34</f>
        <v>2.2000000000000001E-3</v>
      </c>
    </row>
    <row r="50" spans="1:7" x14ac:dyDescent="0.3">
      <c r="A50" t="s">
        <v>10</v>
      </c>
      <c r="B50" s="10" t="s">
        <v>16</v>
      </c>
      <c r="C50" s="21" t="s">
        <v>17</v>
      </c>
      <c r="D50" s="232">
        <f>IF(D18-E18=0,0,D18-E18)</f>
        <v>0</v>
      </c>
      <c r="E50"/>
      <c r="F50"/>
      <c r="G50" s="296"/>
    </row>
    <row r="51" spans="1:7" x14ac:dyDescent="0.3">
      <c r="A51" t="s">
        <v>28</v>
      </c>
      <c r="B51" s="22" t="s">
        <v>215</v>
      </c>
      <c r="C51" s="21" t="s">
        <v>17</v>
      </c>
      <c r="D51" s="232">
        <f t="shared" ref="D51:D52" si="0">IF(D19-E19=0,0,D19-E19)</f>
        <v>0</v>
      </c>
      <c r="E51"/>
      <c r="F51"/>
    </row>
    <row r="52" spans="1:7" ht="15" thickBot="1" x14ac:dyDescent="0.35">
      <c r="A52" t="s">
        <v>27</v>
      </c>
      <c r="B52" s="22" t="s">
        <v>13</v>
      </c>
      <c r="C52" s="21" t="s">
        <v>17</v>
      </c>
      <c r="D52" s="232">
        <f t="shared" si="0"/>
        <v>0</v>
      </c>
      <c r="E52"/>
      <c r="F52"/>
    </row>
    <row r="53" spans="1:7" ht="15" thickBot="1" x14ac:dyDescent="0.35">
      <c r="A53"/>
      <c r="B53" s="81"/>
      <c r="C53" s="81"/>
      <c r="D53" s="25">
        <f>SUM(D44:D52)</f>
        <v>0</v>
      </c>
      <c r="E53"/>
      <c r="F53"/>
    </row>
    <row r="54" spans="1:7" ht="21.75" customHeight="1" x14ac:dyDescent="0.3">
      <c r="A54" s="388" t="s">
        <v>246</v>
      </c>
      <c r="B54" s="389"/>
      <c r="C54" s="390"/>
      <c r="D54" s="33" t="s">
        <v>0</v>
      </c>
      <c r="E54"/>
      <c r="F54"/>
    </row>
    <row r="55" spans="1:7" x14ac:dyDescent="0.3">
      <c r="A55" s="79" t="s">
        <v>247</v>
      </c>
      <c r="B55" s="163" t="s">
        <v>359</v>
      </c>
      <c r="C55" s="162" t="s">
        <v>216</v>
      </c>
      <c r="D55" s="142"/>
      <c r="E55" s="28"/>
      <c r="F55"/>
    </row>
    <row r="56" spans="1:7" x14ac:dyDescent="0.3">
      <c r="A56" s="79" t="s">
        <v>248</v>
      </c>
      <c r="B56" s="163" t="s">
        <v>360</v>
      </c>
      <c r="C56" s="162" t="s">
        <v>216</v>
      </c>
      <c r="D56" s="142"/>
      <c r="E56" s="141"/>
      <c r="F56" s="143"/>
    </row>
    <row r="57" spans="1:7" ht="15" thickBot="1" x14ac:dyDescent="0.35">
      <c r="A57" s="79" t="s">
        <v>249</v>
      </c>
      <c r="B57" s="163" t="s">
        <v>250</v>
      </c>
      <c r="C57" s="162" t="s">
        <v>216</v>
      </c>
      <c r="D57" s="142"/>
      <c r="E57" s="28"/>
      <c r="F57"/>
    </row>
    <row r="58" spans="1:7" ht="15" thickBot="1" x14ac:dyDescent="0.35">
      <c r="A58"/>
      <c r="B58" s="81"/>
      <c r="C58" s="81"/>
      <c r="D58" s="25">
        <f>SUM(D55:D57)</f>
        <v>0</v>
      </c>
      <c r="E58"/>
      <c r="F58"/>
    </row>
    <row r="59" spans="1:7" ht="15" thickBot="1" x14ac:dyDescent="0.35">
      <c r="A59"/>
      <c r="B59"/>
      <c r="C59"/>
      <c r="D59"/>
      <c r="E59"/>
      <c r="F59"/>
    </row>
    <row r="60" spans="1:7" ht="15" thickBot="1" x14ac:dyDescent="0.35">
      <c r="A60" t="s">
        <v>22</v>
      </c>
      <c r="B60" s="26" t="s">
        <v>24</v>
      </c>
      <c r="C60"/>
      <c r="D60" s="35">
        <f>+D30+D38</f>
        <v>0</v>
      </c>
      <c r="E60" t="s">
        <v>209</v>
      </c>
      <c r="F60"/>
    </row>
    <row r="61" spans="1:7" ht="15" thickBot="1" x14ac:dyDescent="0.35">
      <c r="A61" t="s">
        <v>22</v>
      </c>
      <c r="B61" s="26" t="s">
        <v>24</v>
      </c>
      <c r="C61"/>
      <c r="D61" s="27">
        <f>+D60+Payslip!D9</f>
        <v>0</v>
      </c>
      <c r="E61" t="s">
        <v>210</v>
      </c>
      <c r="F61"/>
    </row>
    <row r="62" spans="1:7" x14ac:dyDescent="0.3">
      <c r="A62"/>
      <c r="B62" s="26"/>
      <c r="C62"/>
      <c r="D62" s="34"/>
      <c r="E62"/>
      <c r="F62"/>
    </row>
    <row r="63" spans="1:7" x14ac:dyDescent="0.3">
      <c r="A63"/>
      <c r="B63"/>
      <c r="C63"/>
      <c r="D63"/>
      <c r="E63"/>
      <c r="F63"/>
    </row>
    <row r="64" spans="1:7" x14ac:dyDescent="0.3">
      <c r="A64" s="28" t="s">
        <v>152</v>
      </c>
      <c r="B64" s="28" t="s">
        <v>153</v>
      </c>
      <c r="C64" s="28" t="s">
        <v>208</v>
      </c>
      <c r="D64"/>
      <c r="E64"/>
      <c r="F64"/>
    </row>
    <row r="65" spans="1:6" x14ac:dyDescent="0.3">
      <c r="A65" s="28"/>
      <c r="B65" s="28" t="s">
        <v>154</v>
      </c>
      <c r="C65" s="28" t="s">
        <v>228</v>
      </c>
      <c r="D65"/>
      <c r="E65"/>
      <c r="F65"/>
    </row>
    <row r="66" spans="1:6" x14ac:dyDescent="0.3">
      <c r="A66" s="28"/>
      <c r="B66" s="28"/>
      <c r="C66" s="28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 s="29" t="s">
        <v>3</v>
      </c>
      <c r="B68" s="29" t="s">
        <v>4</v>
      </c>
      <c r="C68" s="28"/>
      <c r="D68"/>
      <c r="E68" s="137"/>
      <c r="F68"/>
    </row>
    <row r="69" spans="1:6" x14ac:dyDescent="0.3">
      <c r="A69" s="29"/>
      <c r="B69" s="29" t="s">
        <v>5</v>
      </c>
      <c r="C69" s="28"/>
      <c r="D69"/>
      <c r="E69" s="137"/>
      <c r="F69"/>
    </row>
    <row r="70" spans="1:6" x14ac:dyDescent="0.3">
      <c r="A70"/>
      <c r="B70"/>
      <c r="C70"/>
      <c r="D70"/>
      <c r="E70"/>
      <c r="F70"/>
    </row>
    <row r="72" spans="1:6" ht="18" customHeight="1" x14ac:dyDescent="0.3"/>
  </sheetData>
  <sheetProtection algorithmName="SHA-512" hashValue="cr5O6Zs6Lz4eoSCKOol3NWlKxkKdCqBnLbCifDRjPrCLiDS0gBC8i9YIjBCb7qEYBH9IJClh2gE7yQ+C0Q9U/g==" saltValue="bBRIkXaHmUZjKFYT+k/NQA==" spinCount="100000" sheet="1" objects="1" scenarios="1" selectLockedCells="1"/>
  <dataConsolidate topLabels="1">
    <dataRefs count="3">
      <dataRef ref="A2:D4" sheet="Syfers"/>
      <dataRef ref="D3" sheet="Syfers"/>
      <dataRef ref="A7:D10" sheet="Syfers"/>
    </dataRefs>
  </dataConsolidate>
  <mergeCells count="11">
    <mergeCell ref="A54:C54"/>
    <mergeCell ref="E2:F2"/>
    <mergeCell ref="B16:D16"/>
    <mergeCell ref="A24:C24"/>
    <mergeCell ref="A31:C31"/>
    <mergeCell ref="A43:C43"/>
    <mergeCell ref="C2:D2"/>
    <mergeCell ref="C3:D3"/>
    <mergeCell ref="B17:D17"/>
    <mergeCell ref="B9:C9"/>
    <mergeCell ref="A40:C40"/>
  </mergeCells>
  <dataValidations xWindow="432" yWindow="804" count="3">
    <dataValidation type="list" allowBlank="1" showInputMessage="1" showErrorMessage="1" promptTitle="Huis" prompt="Kies tipe huis'vergoeding'" sqref="B27" xr:uid="{00000000-0002-0000-0000-000000000000}">
      <formula1>"GRATIS HUIS, GEEN, HUISTOELAE"</formula1>
    </dataValidation>
    <dataValidation type="list" allowBlank="1" showInputMessage="1" showErrorMessage="1" promptTitle="Reis" prompt="Maak keuse" sqref="B28" xr:uid="{00000000-0002-0000-0000-000001000000}">
      <formula1>"VOERTUIG- EN VERVOERTOELAE, WERKSMOTOR VIR PRIVAAT &amp; WERK, GEEN"</formula1>
    </dataValidation>
    <dataValidation type="list" allowBlank="1" showInputMessage="1" showErrorMessage="1" promptTitle="Bonus" prompt="Kies tipe bonus" sqref="C26" xr:uid="{00000000-0002-0000-0000-000002000000}">
      <formula1>"JA (1xpj), JA (per mnd), NEE, Eie bedrag"</formula1>
    </dataValidation>
  </dataValidations>
  <pageMargins left="0.7" right="0.7" top="0.38760416666666669" bottom="0.33041666666666669" header="0.3" footer="0.3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48"/>
  <sheetViews>
    <sheetView topLeftCell="A8" zoomScale="110" zoomScaleNormal="110" workbookViewId="0">
      <selection activeCell="E15" sqref="E15"/>
    </sheetView>
  </sheetViews>
  <sheetFormatPr defaultColWidth="9.109375" defaultRowHeight="14.4" x14ac:dyDescent="0.3"/>
  <cols>
    <col min="1" max="2" width="4.44140625" style="5" customWidth="1"/>
    <col min="3" max="3" width="105.33203125" style="5" customWidth="1"/>
    <col min="4" max="4" width="14.6640625" style="5" customWidth="1"/>
    <col min="5" max="5" width="14.5546875" style="5" customWidth="1"/>
    <col min="6" max="6" width="9.109375" style="5"/>
    <col min="7" max="7" width="11" style="5" bestFit="1" customWidth="1"/>
    <col min="8" max="16384" width="9.109375" style="5"/>
  </cols>
  <sheetData>
    <row r="1" spans="1:6" ht="18" x14ac:dyDescent="0.35">
      <c r="A1" s="40" t="s">
        <v>134</v>
      </c>
      <c r="B1"/>
      <c r="C1"/>
      <c r="D1"/>
    </row>
    <row r="2" spans="1:6" x14ac:dyDescent="0.3">
      <c r="A2"/>
      <c r="B2"/>
      <c r="C2"/>
      <c r="D2"/>
    </row>
    <row r="3" spans="1:6" x14ac:dyDescent="0.3">
      <c r="A3" s="113" t="s">
        <v>305</v>
      </c>
      <c r="B3"/>
      <c r="C3"/>
      <c r="D3"/>
    </row>
    <row r="4" spans="1:6" x14ac:dyDescent="0.3">
      <c r="A4" s="79" t="s">
        <v>306</v>
      </c>
      <c r="B4"/>
      <c r="C4"/>
      <c r="D4"/>
    </row>
    <row r="5" spans="1:6" x14ac:dyDescent="0.3">
      <c r="A5" s="79"/>
      <c r="B5"/>
      <c r="C5"/>
      <c r="D5"/>
    </row>
    <row r="6" spans="1:6" x14ac:dyDescent="0.3">
      <c r="A6" t="s">
        <v>81</v>
      </c>
      <c r="B6"/>
      <c r="C6"/>
      <c r="D6"/>
    </row>
    <row r="7" spans="1:6" x14ac:dyDescent="0.3">
      <c r="A7" s="79" t="s">
        <v>124</v>
      </c>
      <c r="B7"/>
      <c r="C7"/>
      <c r="D7"/>
    </row>
    <row r="8" spans="1:6" x14ac:dyDescent="0.3">
      <c r="A8"/>
      <c r="B8"/>
      <c r="C8"/>
      <c r="D8"/>
    </row>
    <row r="9" spans="1:6" x14ac:dyDescent="0.3">
      <c r="A9" s="80" t="s">
        <v>82</v>
      </c>
      <c r="B9" s="81"/>
      <c r="C9" s="81"/>
      <c r="D9" s="71"/>
      <c r="E9" s="75"/>
    </row>
    <row r="10" spans="1:6" x14ac:dyDescent="0.3">
      <c r="A10" s="72" t="s">
        <v>83</v>
      </c>
      <c r="B10"/>
      <c r="C10"/>
      <c r="D10" s="72"/>
      <c r="F10" s="39"/>
    </row>
    <row r="11" spans="1:6" x14ac:dyDescent="0.3">
      <c r="A11" s="72"/>
      <c r="B11"/>
      <c r="C11"/>
      <c r="D11" s="72"/>
      <c r="F11" s="39"/>
    </row>
    <row r="12" spans="1:6" x14ac:dyDescent="0.3">
      <c r="A12" s="72" t="s">
        <v>84</v>
      </c>
      <c r="B12" t="s">
        <v>309</v>
      </c>
      <c r="C12"/>
      <c r="D12" s="72"/>
      <c r="F12" s="39"/>
    </row>
    <row r="13" spans="1:6" x14ac:dyDescent="0.3">
      <c r="A13" s="72"/>
      <c r="B13" t="s">
        <v>310</v>
      </c>
      <c r="C13"/>
      <c r="D13" s="72"/>
      <c r="E13" s="235" t="s">
        <v>307</v>
      </c>
    </row>
    <row r="14" spans="1:6" x14ac:dyDescent="0.3">
      <c r="A14" s="72"/>
      <c r="B14" t="s">
        <v>311</v>
      </c>
      <c r="C14"/>
      <c r="D14" s="72"/>
      <c r="E14" s="104" t="s">
        <v>308</v>
      </c>
    </row>
    <row r="15" spans="1:6" x14ac:dyDescent="0.3">
      <c r="A15" s="72"/>
      <c r="B15" s="82" t="s">
        <v>312</v>
      </c>
      <c r="C15"/>
      <c r="D15" s="83" t="s">
        <v>19</v>
      </c>
      <c r="E15" s="101"/>
    </row>
    <row r="16" spans="1:6" ht="5.25" customHeight="1" x14ac:dyDescent="0.3">
      <c r="A16" s="72"/>
      <c r="B16" s="69"/>
      <c r="C16"/>
      <c r="D16" s="72"/>
      <c r="E16" s="76"/>
    </row>
    <row r="17" spans="1:7" x14ac:dyDescent="0.3">
      <c r="A17" s="72"/>
      <c r="B17" s="236" t="s">
        <v>313</v>
      </c>
      <c r="C17"/>
      <c r="D17" s="237" t="s">
        <v>314</v>
      </c>
      <c r="E17" s="223" t="s">
        <v>315</v>
      </c>
      <c r="F17" s="39"/>
    </row>
    <row r="18" spans="1:7" x14ac:dyDescent="0.3">
      <c r="A18" s="72"/>
      <c r="B18" s="84"/>
      <c r="C18" t="s">
        <v>316</v>
      </c>
      <c r="D18" s="238" t="s">
        <v>317</v>
      </c>
      <c r="E18" s="101"/>
    </row>
    <row r="19" spans="1:7" ht="5.25" customHeight="1" thickBot="1" x14ac:dyDescent="0.35">
      <c r="A19" s="72"/>
      <c r="B19" s="69"/>
      <c r="C19"/>
      <c r="D19" s="72"/>
    </row>
    <row r="20" spans="1:7" ht="15" thickBot="1" x14ac:dyDescent="0.35">
      <c r="A20" s="72"/>
      <c r="B20" s="84"/>
      <c r="C20"/>
      <c r="D20" s="86" t="s">
        <v>131</v>
      </c>
      <c r="E20" s="98">
        <f>+E15-E18</f>
        <v>0</v>
      </c>
      <c r="G20" s="37"/>
    </row>
    <row r="21" spans="1:7" x14ac:dyDescent="0.3">
      <c r="A21" s="72"/>
      <c r="B21"/>
      <c r="C21"/>
      <c r="D21" s="87"/>
      <c r="E21" s="76"/>
    </row>
    <row r="22" spans="1:7" x14ac:dyDescent="0.3">
      <c r="A22" s="72" t="s">
        <v>85</v>
      </c>
      <c r="B22" t="s">
        <v>212</v>
      </c>
      <c r="C22"/>
      <c r="D22" s="86" t="s">
        <v>132</v>
      </c>
      <c r="E22" s="99">
        <f>+Belastingtabel!G13</f>
        <v>99000</v>
      </c>
    </row>
    <row r="23" spans="1:7" x14ac:dyDescent="0.3">
      <c r="A23" s="72"/>
      <c r="B23"/>
      <c r="C23"/>
      <c r="D23" s="72"/>
      <c r="E23" s="76"/>
    </row>
    <row r="24" spans="1:7" x14ac:dyDescent="0.3">
      <c r="A24" s="72" t="s">
        <v>86</v>
      </c>
      <c r="B24" s="88" t="s">
        <v>87</v>
      </c>
      <c r="C24" t="s">
        <v>88</v>
      </c>
      <c r="D24" s="85" t="s">
        <v>135</v>
      </c>
      <c r="E24" s="77" t="s">
        <v>130</v>
      </c>
      <c r="F24" s="39"/>
    </row>
    <row r="25" spans="1:7" x14ac:dyDescent="0.3">
      <c r="A25" s="72"/>
      <c r="B25" s="89" t="s">
        <v>89</v>
      </c>
      <c r="C25" t="s">
        <v>126</v>
      </c>
      <c r="D25" s="86" t="s">
        <v>133</v>
      </c>
      <c r="E25" s="102">
        <v>0.18</v>
      </c>
      <c r="F25" s="6"/>
      <c r="G25" s="6"/>
    </row>
    <row r="26" spans="1:7" x14ac:dyDescent="0.3">
      <c r="A26" s="72"/>
      <c r="B26"/>
      <c r="C26" t="s">
        <v>127</v>
      </c>
      <c r="D26" s="72"/>
      <c r="E26" s="76"/>
    </row>
    <row r="27" spans="1:7" x14ac:dyDescent="0.3">
      <c r="A27" s="72"/>
      <c r="B27" s="89" t="s">
        <v>89</v>
      </c>
      <c r="C27" t="s">
        <v>90</v>
      </c>
      <c r="D27" s="72"/>
      <c r="E27" s="76"/>
    </row>
    <row r="28" spans="1:7" x14ac:dyDescent="0.3">
      <c r="A28" s="72"/>
      <c r="B28" s="89" t="s">
        <v>91</v>
      </c>
      <c r="C28" s="90" t="s">
        <v>128</v>
      </c>
      <c r="D28" s="91"/>
      <c r="E28" s="76"/>
    </row>
    <row r="29" spans="1:7" x14ac:dyDescent="0.3">
      <c r="A29" s="72"/>
      <c r="B29"/>
      <c r="C29" t="s">
        <v>129</v>
      </c>
      <c r="D29" s="72"/>
      <c r="E29" s="78"/>
    </row>
    <row r="30" spans="1:7" x14ac:dyDescent="0.3">
      <c r="A30" s="72"/>
      <c r="B30"/>
      <c r="C30"/>
      <c r="D30" s="85" t="s">
        <v>137</v>
      </c>
      <c r="E30" s="77" t="s">
        <v>130</v>
      </c>
      <c r="F30" s="39"/>
    </row>
    <row r="31" spans="1:7" x14ac:dyDescent="0.3">
      <c r="A31" s="72" t="s">
        <v>92</v>
      </c>
      <c r="B31" t="s">
        <v>93</v>
      </c>
      <c r="C31"/>
      <c r="D31" s="86" t="s">
        <v>136</v>
      </c>
      <c r="E31" s="103">
        <v>12</v>
      </c>
    </row>
    <row r="32" spans="1:7" x14ac:dyDescent="0.3">
      <c r="A32" s="72"/>
      <c r="B32"/>
      <c r="C32"/>
      <c r="D32" s="72"/>
      <c r="E32" s="76"/>
    </row>
    <row r="33" spans="1:7" ht="15" thickBot="1" x14ac:dyDescent="0.35">
      <c r="A33" s="92" t="s">
        <v>94</v>
      </c>
      <c r="B33"/>
      <c r="C33"/>
      <c r="D33" s="72" t="s">
        <v>138</v>
      </c>
      <c r="E33" s="100">
        <f>(E20-E22)*E25*E31/12</f>
        <v>-17820</v>
      </c>
    </row>
    <row r="34" spans="1:7" ht="15" thickBot="1" x14ac:dyDescent="0.35">
      <c r="A34" s="93"/>
      <c r="B34" s="73"/>
      <c r="C34" s="294" t="s">
        <v>339</v>
      </c>
      <c r="D34" s="94" t="s">
        <v>139</v>
      </c>
      <c r="E34" s="66">
        <f>IF(E33/E31&gt;=0,E33/E31,0)</f>
        <v>0</v>
      </c>
    </row>
    <row r="35" spans="1:7" x14ac:dyDescent="0.3">
      <c r="A35" s="297" t="s">
        <v>348</v>
      </c>
      <c r="B35" s="81"/>
      <c r="C35" s="298"/>
      <c r="D35" s="81"/>
      <c r="E35" s="299" t="s">
        <v>130</v>
      </c>
    </row>
    <row r="36" spans="1:7" ht="43.8" thickBot="1" x14ac:dyDescent="0.35">
      <c r="A36" s="92"/>
      <c r="B36"/>
      <c r="C36" s="300" t="s">
        <v>349</v>
      </c>
      <c r="D36" s="301" t="s">
        <v>350</v>
      </c>
      <c r="E36" s="302">
        <v>10</v>
      </c>
      <c r="F36" s="406" t="s">
        <v>351</v>
      </c>
      <c r="G36" s="407"/>
    </row>
    <row r="37" spans="1:7" ht="15" thickBot="1" x14ac:dyDescent="0.35">
      <c r="A37" s="93"/>
      <c r="B37" s="73"/>
      <c r="C37" s="303" t="s">
        <v>144</v>
      </c>
      <c r="D37" s="94" t="s">
        <v>139</v>
      </c>
      <c r="E37" s="304">
        <f>IF(E34-E36&gt;=0,E34-E36,0)</f>
        <v>0</v>
      </c>
    </row>
    <row r="38" spans="1:7" x14ac:dyDescent="0.3">
      <c r="A38" s="79"/>
      <c r="B38"/>
      <c r="C38"/>
      <c r="D38"/>
      <c r="E38" s="196" t="s">
        <v>318</v>
      </c>
    </row>
    <row r="39" spans="1:7" x14ac:dyDescent="0.3">
      <c r="A39" s="79"/>
      <c r="B39"/>
      <c r="C39"/>
      <c r="D39"/>
    </row>
    <row r="40" spans="1:7" x14ac:dyDescent="0.3">
      <c r="A40" s="95"/>
      <c r="B40"/>
      <c r="C40"/>
      <c r="D40"/>
    </row>
    <row r="41" spans="1:7" x14ac:dyDescent="0.3">
      <c r="A41" s="96"/>
      <c r="B41" s="36"/>
      <c r="C41" s="36"/>
      <c r="D41" s="36"/>
    </row>
    <row r="42" spans="1:7" x14ac:dyDescent="0.3">
      <c r="A42" s="97"/>
      <c r="B42" s="36"/>
      <c r="C42" s="36"/>
      <c r="D42" s="36"/>
    </row>
    <row r="43" spans="1:7" x14ac:dyDescent="0.3">
      <c r="A43" s="97"/>
      <c r="B43" s="36"/>
      <c r="C43" s="36"/>
      <c r="D43" s="36"/>
    </row>
    <row r="44" spans="1:7" x14ac:dyDescent="0.3">
      <c r="A44" s="164"/>
      <c r="B44" s="36"/>
      <c r="C44" s="36"/>
      <c r="D44" s="36"/>
    </row>
    <row r="45" spans="1:7" x14ac:dyDescent="0.3">
      <c r="A45" s="164"/>
      <c r="B45" s="36"/>
      <c r="C45" s="36"/>
      <c r="D45" s="36"/>
    </row>
    <row r="46" spans="1:7" x14ac:dyDescent="0.3">
      <c r="A46" s="165"/>
      <c r="B46" s="36"/>
      <c r="C46" s="36"/>
      <c r="D46" s="36"/>
    </row>
    <row r="47" spans="1:7" x14ac:dyDescent="0.3">
      <c r="A47" s="165"/>
      <c r="B47" s="36"/>
      <c r="C47" s="36"/>
      <c r="D47" s="36"/>
    </row>
    <row r="48" spans="1:7" x14ac:dyDescent="0.3">
      <c r="A48" s="166"/>
      <c r="B48" s="36"/>
      <c r="C48" s="36"/>
      <c r="D48" s="36"/>
    </row>
  </sheetData>
  <sheetProtection algorithmName="SHA-512" hashValue="pfvuNlAWX0P5uIknsDnca8lf6IMOkJfAUTCoNRtxOmXE6c6RElGA+Typ1oHOkvRPCPXJWdE4G1+bm6B+VKvYoQ==" saltValue="EFeLV3aFuUBi0oYTw5C4lQ==" spinCount="100000" sheet="1" objects="1" scenarios="1" selectLockedCells="1"/>
  <mergeCells count="1">
    <mergeCell ref="F36:G36"/>
  </mergeCells>
  <pageMargins left="0.7" right="0.7" top="0.75" bottom="0.75" header="0.3" footer="0.3"/>
  <pageSetup paperSize="9"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49"/>
  <sheetViews>
    <sheetView topLeftCell="A22" zoomScale="110" zoomScaleNormal="110" workbookViewId="0">
      <selection activeCell="D29" sqref="D29"/>
    </sheetView>
  </sheetViews>
  <sheetFormatPr defaultColWidth="9.109375" defaultRowHeight="14.4" x14ac:dyDescent="0.3"/>
  <cols>
    <col min="1" max="1" width="3.44140625" style="5" customWidth="1"/>
    <col min="2" max="2" width="120.88671875" style="5" customWidth="1"/>
    <col min="3" max="3" width="13.33203125" style="5" customWidth="1"/>
    <col min="4" max="4" width="14.6640625" style="5" customWidth="1"/>
    <col min="5" max="16384" width="9.109375" style="5"/>
  </cols>
  <sheetData>
    <row r="1" spans="1:3" ht="18" x14ac:dyDescent="0.35">
      <c r="A1" s="40" t="s">
        <v>125</v>
      </c>
      <c r="B1"/>
      <c r="C1"/>
    </row>
    <row r="2" spans="1:3" x14ac:dyDescent="0.3">
      <c r="A2"/>
      <c r="B2"/>
      <c r="C2"/>
    </row>
    <row r="3" spans="1:3" x14ac:dyDescent="0.3">
      <c r="A3" s="79" t="s">
        <v>80</v>
      </c>
      <c r="B3"/>
      <c r="C3"/>
    </row>
    <row r="4" spans="1:3" x14ac:dyDescent="0.3">
      <c r="A4"/>
      <c r="B4"/>
      <c r="C4"/>
    </row>
    <row r="5" spans="1:3" x14ac:dyDescent="0.3">
      <c r="A5" s="69" t="s">
        <v>95</v>
      </c>
      <c r="B5"/>
      <c r="C5"/>
    </row>
    <row r="6" spans="1:3" x14ac:dyDescent="0.3">
      <c r="A6" t="s">
        <v>96</v>
      </c>
      <c r="B6"/>
      <c r="C6"/>
    </row>
    <row r="7" spans="1:3" x14ac:dyDescent="0.3">
      <c r="A7"/>
      <c r="B7"/>
      <c r="C7"/>
    </row>
    <row r="8" spans="1:3" x14ac:dyDescent="0.3">
      <c r="A8" s="107" t="s">
        <v>114</v>
      </c>
      <c r="B8"/>
      <c r="C8"/>
    </row>
    <row r="9" spans="1:3" x14ac:dyDescent="0.3">
      <c r="A9" s="62" t="s">
        <v>74</v>
      </c>
      <c r="B9" s="69" t="s">
        <v>141</v>
      </c>
      <c r="C9" s="69"/>
    </row>
    <row r="10" spans="1:3" x14ac:dyDescent="0.3">
      <c r="A10" s="62"/>
      <c r="B10" t="s">
        <v>107</v>
      </c>
      <c r="C10"/>
    </row>
    <row r="11" spans="1:3" x14ac:dyDescent="0.3">
      <c r="A11" s="62" t="s">
        <v>97</v>
      </c>
      <c r="B11"/>
      <c r="C11"/>
    </row>
    <row r="12" spans="1:3" x14ac:dyDescent="0.3">
      <c r="A12" s="62" t="s">
        <v>74</v>
      </c>
      <c r="B12" s="69" t="s">
        <v>108</v>
      </c>
      <c r="C12" s="69"/>
    </row>
    <row r="13" spans="1:3" x14ac:dyDescent="0.3">
      <c r="A13" s="62"/>
      <c r="B13" t="s">
        <v>109</v>
      </c>
      <c r="C13"/>
    </row>
    <row r="14" spans="1:3" x14ac:dyDescent="0.3">
      <c r="A14" s="62" t="s">
        <v>97</v>
      </c>
      <c r="B14"/>
      <c r="C14"/>
    </row>
    <row r="15" spans="1:3" x14ac:dyDescent="0.3">
      <c r="A15" s="62" t="s">
        <v>74</v>
      </c>
      <c r="B15" s="69" t="s">
        <v>111</v>
      </c>
      <c r="C15" s="69"/>
    </row>
    <row r="16" spans="1:3" x14ac:dyDescent="0.3">
      <c r="A16"/>
      <c r="B16" t="s">
        <v>110</v>
      </c>
      <c r="C16"/>
    </row>
    <row r="17" spans="1:4" x14ac:dyDescent="0.3">
      <c r="A17"/>
      <c r="B17"/>
      <c r="C17"/>
    </row>
    <row r="18" spans="1:4" x14ac:dyDescent="0.3">
      <c r="A18"/>
      <c r="B18" s="107" t="s">
        <v>112</v>
      </c>
      <c r="C18" s="107"/>
    </row>
    <row r="19" spans="1:4" x14ac:dyDescent="0.3">
      <c r="A19"/>
      <c r="B19" t="s">
        <v>98</v>
      </c>
      <c r="C19"/>
    </row>
    <row r="20" spans="1:4" x14ac:dyDescent="0.3">
      <c r="A20"/>
      <c r="B20" t="s">
        <v>99</v>
      </c>
      <c r="C20"/>
    </row>
    <row r="21" spans="1:4" x14ac:dyDescent="0.3">
      <c r="A21"/>
      <c r="B21" t="s">
        <v>100</v>
      </c>
      <c r="C21"/>
    </row>
    <row r="22" spans="1:4" x14ac:dyDescent="0.3">
      <c r="A22"/>
      <c r="B22"/>
      <c r="C22"/>
    </row>
    <row r="23" spans="1:4" x14ac:dyDescent="0.3">
      <c r="A23"/>
      <c r="B23" s="107" t="s">
        <v>113</v>
      </c>
      <c r="C23" s="107"/>
    </row>
    <row r="24" spans="1:4" x14ac:dyDescent="0.3">
      <c r="A24"/>
      <c r="B24" t="s">
        <v>101</v>
      </c>
      <c r="C24"/>
    </row>
    <row r="25" spans="1:4" x14ac:dyDescent="0.3">
      <c r="A25"/>
      <c r="B25" s="79" t="s">
        <v>103</v>
      </c>
      <c r="C25" s="79"/>
    </row>
    <row r="26" spans="1:4" x14ac:dyDescent="0.3">
      <c r="A26"/>
      <c r="B26" s="79" t="s">
        <v>104</v>
      </c>
      <c r="C26" s="79"/>
    </row>
    <row r="27" spans="1:4" x14ac:dyDescent="0.3">
      <c r="A27"/>
      <c r="B27" s="79" t="s">
        <v>102</v>
      </c>
      <c r="C27" s="79"/>
    </row>
    <row r="28" spans="1:4" x14ac:dyDescent="0.3">
      <c r="A28"/>
      <c r="B28"/>
      <c r="C28"/>
    </row>
    <row r="29" spans="1:4" x14ac:dyDescent="0.3">
      <c r="A29" s="80" t="s">
        <v>105</v>
      </c>
      <c r="B29" s="81"/>
      <c r="C29" s="71"/>
      <c r="D29" s="105" t="s">
        <v>130</v>
      </c>
    </row>
    <row r="30" spans="1:4" x14ac:dyDescent="0.3">
      <c r="A30" s="92" t="s">
        <v>106</v>
      </c>
      <c r="B30"/>
      <c r="C30" s="85" t="s">
        <v>140</v>
      </c>
      <c r="D30" s="101"/>
    </row>
    <row r="31" spans="1:4" ht="6" customHeight="1" x14ac:dyDescent="0.3">
      <c r="A31" s="72"/>
      <c r="B31"/>
      <c r="C31" s="108"/>
      <c r="D31" s="76"/>
    </row>
    <row r="32" spans="1:4" x14ac:dyDescent="0.3">
      <c r="A32" s="109" t="s">
        <v>74</v>
      </c>
      <c r="B32" t="s">
        <v>115</v>
      </c>
      <c r="C32" s="108"/>
      <c r="D32" s="78" t="s">
        <v>130</v>
      </c>
    </row>
    <row r="33" spans="1:5" x14ac:dyDescent="0.3">
      <c r="A33" s="72" t="s">
        <v>97</v>
      </c>
      <c r="B33"/>
      <c r="C33" s="85" t="s">
        <v>135</v>
      </c>
      <c r="D33" s="111">
        <v>2.5999999999999999E-2</v>
      </c>
      <c r="E33" s="6"/>
    </row>
    <row r="34" spans="1:5" x14ac:dyDescent="0.3">
      <c r="A34" s="109" t="s">
        <v>74</v>
      </c>
      <c r="B34" t="s">
        <v>116</v>
      </c>
      <c r="C34" s="108"/>
      <c r="D34" s="76"/>
    </row>
    <row r="35" spans="1:5" x14ac:dyDescent="0.3">
      <c r="A35" s="109"/>
      <c r="B35"/>
      <c r="C35" s="85" t="s">
        <v>145</v>
      </c>
      <c r="D35" s="78" t="s">
        <v>130</v>
      </c>
    </row>
    <row r="36" spans="1:5" x14ac:dyDescent="0.3">
      <c r="A36" s="72"/>
      <c r="B36" t="s">
        <v>142</v>
      </c>
      <c r="C36" s="87" t="s">
        <v>146</v>
      </c>
      <c r="D36" s="101"/>
    </row>
    <row r="37" spans="1:5" ht="15" thickBot="1" x14ac:dyDescent="0.35">
      <c r="A37" s="72"/>
      <c r="B37" t="s">
        <v>143</v>
      </c>
      <c r="C37" s="72"/>
      <c r="D37" s="76"/>
    </row>
    <row r="38" spans="1:5" ht="15" thickBot="1" x14ac:dyDescent="0.35">
      <c r="A38" s="72"/>
      <c r="B38" s="110" t="s">
        <v>144</v>
      </c>
      <c r="C38" s="87" t="s">
        <v>139</v>
      </c>
      <c r="D38" s="112">
        <f>(D30*D33)-D36</f>
        <v>0</v>
      </c>
    </row>
    <row r="39" spans="1:5" x14ac:dyDescent="0.3">
      <c r="A39" s="94"/>
      <c r="B39" s="73"/>
      <c r="C39" s="94"/>
      <c r="D39" s="106"/>
    </row>
    <row r="40" spans="1:5" x14ac:dyDescent="0.3">
      <c r="A40" s="79" t="s">
        <v>117</v>
      </c>
      <c r="B40"/>
      <c r="C40"/>
    </row>
    <row r="41" spans="1:5" x14ac:dyDescent="0.3">
      <c r="A41" s="79" t="s">
        <v>118</v>
      </c>
      <c r="B41"/>
      <c r="C41"/>
    </row>
    <row r="42" spans="1:5" x14ac:dyDescent="0.3">
      <c r="A42"/>
      <c r="B42"/>
      <c r="C42"/>
    </row>
    <row r="43" spans="1:5" x14ac:dyDescent="0.3">
      <c r="A43" s="26" t="s">
        <v>119</v>
      </c>
      <c r="B43"/>
      <c r="C43"/>
    </row>
    <row r="44" spans="1:5" x14ac:dyDescent="0.3">
      <c r="A44" t="s">
        <v>74</v>
      </c>
      <c r="B44" t="s">
        <v>121</v>
      </c>
      <c r="C44"/>
    </row>
    <row r="45" spans="1:5" x14ac:dyDescent="0.3">
      <c r="A45"/>
      <c r="B45" t="s">
        <v>120</v>
      </c>
      <c r="C45"/>
    </row>
    <row r="46" spans="1:5" x14ac:dyDescent="0.3">
      <c r="A46" t="s">
        <v>74</v>
      </c>
      <c r="B46" t="s">
        <v>122</v>
      </c>
      <c r="C46"/>
    </row>
    <row r="47" spans="1:5" x14ac:dyDescent="0.3">
      <c r="A47"/>
      <c r="B47" t="s">
        <v>123</v>
      </c>
      <c r="C47"/>
    </row>
    <row r="48" spans="1:5" x14ac:dyDescent="0.3">
      <c r="A48"/>
      <c r="B48"/>
      <c r="C48"/>
    </row>
    <row r="49" spans="1:3" x14ac:dyDescent="0.3">
      <c r="A49"/>
      <c r="B49"/>
      <c r="C49"/>
    </row>
  </sheetData>
  <sheetProtection password="904A" sheet="1" objects="1" scenarios="1" selectLockedCells="1"/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J55"/>
  <sheetViews>
    <sheetView zoomScale="115" zoomScaleNormal="115" workbookViewId="0">
      <selection activeCell="A9" sqref="A9"/>
    </sheetView>
  </sheetViews>
  <sheetFormatPr defaultColWidth="9.109375" defaultRowHeight="14.4" x14ac:dyDescent="0.3"/>
  <cols>
    <col min="1" max="1" width="9" customWidth="1"/>
    <col min="2" max="2" width="42.33203125" customWidth="1"/>
    <col min="3" max="3" width="15.88671875" customWidth="1"/>
    <col min="4" max="4" width="6.33203125" style="43" customWidth="1"/>
    <col min="5" max="5" width="14.6640625" customWidth="1"/>
    <col min="6" max="6" width="13.6640625" bestFit="1" customWidth="1"/>
    <col min="7" max="7" width="64.44140625" bestFit="1" customWidth="1"/>
  </cols>
  <sheetData>
    <row r="1" spans="1:8" ht="18" x14ac:dyDescent="0.35">
      <c r="A1" s="40" t="s">
        <v>35</v>
      </c>
      <c r="C1" s="36"/>
      <c r="D1" s="41"/>
      <c r="H1" s="36"/>
    </row>
    <row r="2" spans="1:8" ht="18" x14ac:dyDescent="0.35">
      <c r="B2" s="40"/>
      <c r="C2" s="28"/>
      <c r="D2" s="42"/>
    </row>
    <row r="3" spans="1:8" x14ac:dyDescent="0.3">
      <c r="A3" s="26" t="s">
        <v>236</v>
      </c>
      <c r="B3" s="26">
        <f>VLOOKUP(A3,Syfers!A5:D71,2,FALSE)</f>
        <v>0</v>
      </c>
    </row>
    <row r="4" spans="1:8" x14ac:dyDescent="0.3">
      <c r="E4" s="44" t="s">
        <v>39</v>
      </c>
      <c r="F4" s="45" t="s">
        <v>40</v>
      </c>
      <c r="G4" s="26" t="s">
        <v>26</v>
      </c>
    </row>
    <row r="5" spans="1:8" x14ac:dyDescent="0.3">
      <c r="A5" s="46" t="s">
        <v>36</v>
      </c>
      <c r="B5" s="47"/>
      <c r="C5" s="48" t="s">
        <v>44</v>
      </c>
      <c r="D5" s="49"/>
      <c r="E5" s="50"/>
      <c r="F5" s="51"/>
    </row>
    <row r="6" spans="1:8" x14ac:dyDescent="0.3">
      <c r="B6" s="52" t="s">
        <v>240</v>
      </c>
      <c r="C6" s="53">
        <f>VLOOKUP(B6,Syfers!$B$5:$D$72,3,FALSE)</f>
        <v>0</v>
      </c>
      <c r="D6" s="54"/>
      <c r="E6" s="55">
        <f>+C6</f>
        <v>0</v>
      </c>
      <c r="F6" s="51">
        <v>3601</v>
      </c>
    </row>
    <row r="7" spans="1:8" x14ac:dyDescent="0.3">
      <c r="B7" s="52" t="s">
        <v>237</v>
      </c>
      <c r="C7" s="53">
        <f>VLOOKUP(B7,Syfers!$B$5:$D$72,3,FALSE)</f>
        <v>0</v>
      </c>
      <c r="D7" s="54"/>
      <c r="E7" s="55">
        <f>+C7</f>
        <v>0</v>
      </c>
      <c r="F7" s="51">
        <v>3601</v>
      </c>
      <c r="G7" t="s">
        <v>319</v>
      </c>
    </row>
    <row r="8" spans="1:8" x14ac:dyDescent="0.3">
      <c r="B8" s="16" t="s">
        <v>218</v>
      </c>
      <c r="C8" s="118">
        <f>IFERROR(VLOOKUP(B8,Syfers!$B$5:$D$72,3,FALSE),0)</f>
        <v>0</v>
      </c>
      <c r="D8" s="54"/>
      <c r="E8" s="55">
        <f>IFERROR(C8,0)</f>
        <v>0</v>
      </c>
      <c r="F8" s="51">
        <v>3601</v>
      </c>
    </row>
    <row r="9" spans="1:8" x14ac:dyDescent="0.3">
      <c r="A9" s="138">
        <v>0.8</v>
      </c>
      <c r="B9" s="16" t="s">
        <v>2</v>
      </c>
      <c r="C9" s="118">
        <f>IFERROR(VLOOKUP(B9,Syfers!$B$5:$D$72,3,FALSE),0)</f>
        <v>0</v>
      </c>
      <c r="E9" s="56">
        <f>IFERROR(C9,0)*A9</f>
        <v>0</v>
      </c>
      <c r="F9" s="51">
        <v>3701</v>
      </c>
      <c r="G9" t="s">
        <v>229</v>
      </c>
    </row>
    <row r="10" spans="1:8" ht="15" thickBot="1" x14ac:dyDescent="0.35">
      <c r="B10" s="16" t="s">
        <v>217</v>
      </c>
      <c r="C10" s="118">
        <f>VLOOKUP(B10,Syfers!$A$5:$D$72,4,FALSE)</f>
        <v>0</v>
      </c>
      <c r="D10" s="54"/>
      <c r="E10" s="57">
        <f>+C10</f>
        <v>0</v>
      </c>
      <c r="F10" s="51">
        <v>3713</v>
      </c>
    </row>
    <row r="11" spans="1:8" ht="15" thickTop="1" x14ac:dyDescent="0.3">
      <c r="B11" s="411"/>
      <c r="C11" s="412"/>
      <c r="D11" s="54"/>
      <c r="E11" s="55">
        <f>SUM(E6:E10)</f>
        <v>0</v>
      </c>
      <c r="F11" s="51"/>
    </row>
    <row r="12" spans="1:8" x14ac:dyDescent="0.3">
      <c r="A12" s="46" t="s">
        <v>41</v>
      </c>
      <c r="B12" s="58"/>
      <c r="C12" s="59"/>
      <c r="D12" s="54"/>
      <c r="E12" s="55"/>
      <c r="F12" s="51"/>
    </row>
    <row r="13" spans="1:8" x14ac:dyDescent="0.3">
      <c r="B13" s="20" t="s">
        <v>37</v>
      </c>
      <c r="C13" s="53">
        <f>IFERROR(VLOOKUP(B13,Syfers!$B$5:$D$72,3,FALSE),0)</f>
        <v>0</v>
      </c>
      <c r="D13" s="60"/>
      <c r="E13" s="55">
        <f>IFERROR(IF(C13="Byvoordeelbelasting",'Behuising-tax'!E37,0),0)</f>
        <v>0</v>
      </c>
      <c r="F13" s="51">
        <v>3805</v>
      </c>
    </row>
    <row r="14" spans="1:8" ht="15" thickBot="1" x14ac:dyDescent="0.35">
      <c r="B14" s="10" t="s">
        <v>38</v>
      </c>
      <c r="C14" s="118">
        <f>IFERROR(VLOOKUP(B14,Syfers!$B$5:$D$72,3,FALSE),0)</f>
        <v>0</v>
      </c>
      <c r="D14" s="54"/>
      <c r="E14" s="57">
        <f>IFERROR(IF(C14="Byvoordeelbelasting",'Werksmotor-tax'!D38,0),0)</f>
        <v>0</v>
      </c>
      <c r="F14" s="51">
        <v>3802</v>
      </c>
    </row>
    <row r="15" spans="1:8" ht="15" thickTop="1" x14ac:dyDescent="0.3">
      <c r="B15" s="413"/>
      <c r="C15" s="414"/>
      <c r="D15" s="54"/>
      <c r="E15" s="55">
        <f>SUM(E11:E14)</f>
        <v>0</v>
      </c>
      <c r="F15" s="51"/>
    </row>
    <row r="16" spans="1:8" x14ac:dyDescent="0.3">
      <c r="A16" s="46" t="s">
        <v>42</v>
      </c>
      <c r="B16" s="58"/>
      <c r="C16" s="59"/>
      <c r="D16" s="54"/>
      <c r="E16" s="55"/>
      <c r="F16" s="51"/>
    </row>
    <row r="17" spans="1:7" x14ac:dyDescent="0.3">
      <c r="A17" s="26"/>
      <c r="B17" s="20" t="s">
        <v>14</v>
      </c>
      <c r="C17" s="53">
        <f>VLOOKUP(B17,Syfers!$B$5:$D$72,3,FALSE)</f>
        <v>0</v>
      </c>
      <c r="D17" s="54"/>
      <c r="E17" s="228">
        <f>IF(C17=0,0,C17-C23)</f>
        <v>0</v>
      </c>
      <c r="F17" s="175" t="s">
        <v>258</v>
      </c>
      <c r="G17" s="2" t="s">
        <v>260</v>
      </c>
    </row>
    <row r="18" spans="1:7" x14ac:dyDescent="0.3">
      <c r="A18" s="26"/>
      <c r="B18" s="20" t="s">
        <v>222</v>
      </c>
      <c r="C18" s="53">
        <f>VLOOKUP(B18,Syfers!$B$5:$D$72,3,FALSE)</f>
        <v>0</v>
      </c>
      <c r="D18" s="54"/>
      <c r="E18" s="228">
        <f>IF(C18=0,0,C18-C23)</f>
        <v>0</v>
      </c>
      <c r="F18" s="175" t="s">
        <v>259</v>
      </c>
      <c r="G18" s="2" t="s">
        <v>260</v>
      </c>
    </row>
    <row r="19" spans="1:7" x14ac:dyDescent="0.3">
      <c r="A19" s="26"/>
      <c r="B19" s="10" t="s">
        <v>223</v>
      </c>
      <c r="C19" s="53">
        <f>VLOOKUP(B19,Syfers!$B$5:$D$72,3,FALSE)</f>
        <v>0</v>
      </c>
      <c r="D19" s="54"/>
      <c r="E19" s="55">
        <f>+C19</f>
        <v>0</v>
      </c>
      <c r="F19" s="51">
        <v>3801</v>
      </c>
    </row>
    <row r="20" spans="1:7" x14ac:dyDescent="0.3">
      <c r="A20" s="26"/>
      <c r="B20" s="10" t="s">
        <v>232</v>
      </c>
      <c r="C20" s="53">
        <f>VLOOKUP(B20,Syfers!$B$5:$D$72,3,FALSE)</f>
        <v>0</v>
      </c>
      <c r="D20" s="54"/>
      <c r="E20" s="55">
        <f>+C20</f>
        <v>0</v>
      </c>
      <c r="F20" s="51" t="s">
        <v>261</v>
      </c>
    </row>
    <row r="21" spans="1:7" x14ac:dyDescent="0.3">
      <c r="A21" s="26"/>
      <c r="B21" s="22" t="s">
        <v>233</v>
      </c>
      <c r="C21" s="53">
        <f>VLOOKUP(B21,Syfers!$B$5:$D$72,3,FALSE)</f>
        <v>0</v>
      </c>
      <c r="D21" s="54"/>
      <c r="E21" s="55">
        <f>+C21</f>
        <v>0</v>
      </c>
      <c r="F21" s="51">
        <v>3801</v>
      </c>
    </row>
    <row r="22" spans="1:7" x14ac:dyDescent="0.3">
      <c r="A22" s="26"/>
      <c r="B22" s="22" t="s">
        <v>234</v>
      </c>
      <c r="C22" s="53">
        <f>VLOOKUP(B22,Syfers!$B$5:$D$72,3,FALSE)</f>
        <v>0</v>
      </c>
      <c r="D22" s="54"/>
      <c r="E22" s="55">
        <f>+C22</f>
        <v>0</v>
      </c>
      <c r="F22" s="51">
        <v>3801</v>
      </c>
    </row>
    <row r="23" spans="1:7" ht="15" thickBot="1" x14ac:dyDescent="0.35">
      <c r="B23" s="226" t="s">
        <v>257</v>
      </c>
      <c r="C23" s="227">
        <f>+Syfers!D13</f>
        <v>0</v>
      </c>
      <c r="D23" s="54"/>
      <c r="E23" s="57">
        <f>+C23</f>
        <v>0</v>
      </c>
      <c r="F23" s="51">
        <v>3801</v>
      </c>
    </row>
    <row r="24" spans="1:7" ht="15" thickTop="1" x14ac:dyDescent="0.3">
      <c r="B24" s="411"/>
      <c r="C24" s="412"/>
      <c r="D24" s="54"/>
      <c r="E24" s="55">
        <f>SUM(E15:E23)</f>
        <v>0</v>
      </c>
      <c r="F24" s="51"/>
      <c r="G24" s="176" t="s">
        <v>262</v>
      </c>
    </row>
    <row r="25" spans="1:7" x14ac:dyDescent="0.3">
      <c r="A25" s="61" t="s">
        <v>43</v>
      </c>
      <c r="B25" s="58"/>
      <c r="C25" s="59"/>
      <c r="D25" s="54"/>
      <c r="E25" s="55"/>
      <c r="F25" s="51"/>
    </row>
    <row r="26" spans="1:7" x14ac:dyDescent="0.3">
      <c r="B26" s="20" t="s">
        <v>14</v>
      </c>
      <c r="C26" s="229">
        <f>+E17</f>
        <v>0</v>
      </c>
      <c r="D26"/>
      <c r="E26" s="408">
        <f>-IF(C35&gt;C34,C34,C35)</f>
        <v>0</v>
      </c>
      <c r="F26" s="51">
        <v>4001</v>
      </c>
      <c r="G26" s="148"/>
    </row>
    <row r="27" spans="1:7" x14ac:dyDescent="0.3">
      <c r="B27" s="52" t="s">
        <v>15</v>
      </c>
      <c r="C27" s="53">
        <f>VLOOKUP(B27,Syfers!$B$5:$D$72,3,FALSE)</f>
        <v>0</v>
      </c>
      <c r="D27" s="54"/>
      <c r="E27" s="409"/>
      <c r="F27" s="51">
        <v>4001</v>
      </c>
      <c r="G27" s="148"/>
    </row>
    <row r="28" spans="1:7" x14ac:dyDescent="0.3">
      <c r="B28" s="180" t="s">
        <v>220</v>
      </c>
      <c r="C28" s="53">
        <f>VLOOKUP(B28,Syfers!$B$5:$D$72,3,FALSE)</f>
        <v>0</v>
      </c>
      <c r="D28" s="54"/>
      <c r="E28" s="409"/>
      <c r="F28" s="51">
        <v>4001</v>
      </c>
      <c r="G28" s="2" t="s">
        <v>260</v>
      </c>
    </row>
    <row r="29" spans="1:7" x14ac:dyDescent="0.3">
      <c r="B29" s="20" t="s">
        <v>222</v>
      </c>
      <c r="C29" s="229">
        <f>+E18</f>
        <v>0</v>
      </c>
      <c r="D29" s="54"/>
      <c r="E29" s="409"/>
      <c r="F29" s="51">
        <v>4003</v>
      </c>
      <c r="G29" s="148" t="s">
        <v>263</v>
      </c>
    </row>
    <row r="30" spans="1:7" x14ac:dyDescent="0.3">
      <c r="B30" s="20" t="s">
        <v>225</v>
      </c>
      <c r="C30" s="53">
        <f>VLOOKUP(B30,Syfers!$B$5:$D$72,3,FALSE)</f>
        <v>0</v>
      </c>
      <c r="D30" s="54"/>
      <c r="E30" s="409"/>
      <c r="F30" s="51"/>
      <c r="G30" s="148"/>
    </row>
    <row r="31" spans="1:7" x14ac:dyDescent="0.3">
      <c r="B31" s="180" t="s">
        <v>227</v>
      </c>
      <c r="C31" s="53">
        <f>VLOOKUP(B31,Syfers!$B$5:$D$72,3,FALSE)</f>
        <v>0</v>
      </c>
      <c r="D31" s="54"/>
      <c r="E31" s="409"/>
      <c r="F31" s="51"/>
      <c r="G31" s="148"/>
    </row>
    <row r="32" spans="1:7" x14ac:dyDescent="0.3">
      <c r="A32" s="324"/>
      <c r="B32" s="325" t="s">
        <v>355</v>
      </c>
      <c r="C32" s="326">
        <f>IFERROR(VLOOKUP(B32,Syfers!$B$6:$D$82,3,FALSE),0)</f>
        <v>0</v>
      </c>
      <c r="D32" s="327"/>
      <c r="E32" s="409"/>
      <c r="F32" s="51">
        <v>4006</v>
      </c>
    </row>
    <row r="33" spans="2:7" x14ac:dyDescent="0.3">
      <c r="B33" s="20" t="s">
        <v>245</v>
      </c>
      <c r="C33" s="118">
        <f>VLOOKUP(B33,Syfers!$B$5:$D$72,3,FALSE)</f>
        <v>0</v>
      </c>
      <c r="D33" s="54"/>
      <c r="E33" s="410"/>
      <c r="F33" s="51">
        <v>4006</v>
      </c>
      <c r="G33" s="148"/>
    </row>
    <row r="34" spans="2:7" ht="15" thickBot="1" x14ac:dyDescent="0.35">
      <c r="B34" s="185" t="s">
        <v>265</v>
      </c>
      <c r="C34" s="187">
        <f>SUM(C26:C33)</f>
        <v>0</v>
      </c>
      <c r="D34" s="183"/>
      <c r="E34" s="181"/>
      <c r="F34" s="51"/>
      <c r="G34" s="148"/>
    </row>
    <row r="35" spans="2:7" ht="15" thickBot="1" x14ac:dyDescent="0.35">
      <c r="B35" s="185" t="s">
        <v>266</v>
      </c>
      <c r="C35" s="186">
        <f>(E24)*D35</f>
        <v>0</v>
      </c>
      <c r="D35" s="184">
        <v>0.27500000000000002</v>
      </c>
      <c r="G35" s="182" t="s">
        <v>264</v>
      </c>
    </row>
    <row r="36" spans="2:7" ht="9.75" customHeight="1" x14ac:dyDescent="0.3">
      <c r="F36" s="51"/>
    </row>
    <row r="37" spans="2:7" x14ac:dyDescent="0.3">
      <c r="C37" s="62" t="s">
        <v>47</v>
      </c>
      <c r="E37" s="63">
        <f>SUM(E24:E33)</f>
        <v>0</v>
      </c>
      <c r="F37" s="51"/>
    </row>
    <row r="38" spans="2:7" x14ac:dyDescent="0.3">
      <c r="C38" s="62"/>
      <c r="D38"/>
      <c r="E38" s="43" t="s">
        <v>45</v>
      </c>
      <c r="F38" s="51"/>
    </row>
    <row r="39" spans="2:7" x14ac:dyDescent="0.3">
      <c r="C39" s="62" t="s">
        <v>46</v>
      </c>
      <c r="E39" s="177">
        <f>+E37*12</f>
        <v>0</v>
      </c>
      <c r="F39" s="51"/>
    </row>
    <row r="40" spans="2:7" x14ac:dyDescent="0.3">
      <c r="C40" s="62"/>
      <c r="E40" s="55"/>
      <c r="F40" s="51"/>
    </row>
    <row r="41" spans="2:7" x14ac:dyDescent="0.3">
      <c r="C41" s="62" t="s">
        <v>78</v>
      </c>
      <c r="E41" s="64" t="e">
        <f>+Belastingtabel!E27</f>
        <v>#N/A</v>
      </c>
      <c r="F41" s="51"/>
    </row>
    <row r="42" spans="2:7" x14ac:dyDescent="0.3">
      <c r="C42" s="62" t="s">
        <v>79</v>
      </c>
      <c r="E42" s="178">
        <f>-Belastingtabel!E43</f>
        <v>0</v>
      </c>
      <c r="F42" s="51"/>
    </row>
    <row r="43" spans="2:7" x14ac:dyDescent="0.3">
      <c r="C43" s="65" t="s">
        <v>147</v>
      </c>
      <c r="E43" s="179" t="e">
        <f>SUM(E41:E42)</f>
        <v>#N/A</v>
      </c>
      <c r="F43" s="51"/>
    </row>
    <row r="44" spans="2:7" ht="15" thickBot="1" x14ac:dyDescent="0.35">
      <c r="F44" s="51"/>
    </row>
    <row r="45" spans="2:7" ht="15" thickBot="1" x14ac:dyDescent="0.35">
      <c r="C45" s="65" t="s">
        <v>148</v>
      </c>
      <c r="D45" s="62" t="s">
        <v>151</v>
      </c>
      <c r="E45" s="66" t="e">
        <f>IF(E43&lt;=0,0,E43/12)</f>
        <v>#N/A</v>
      </c>
      <c r="F45" s="117"/>
    </row>
    <row r="48" spans="2:7" x14ac:dyDescent="0.3">
      <c r="B48" s="156" t="s">
        <v>219</v>
      </c>
      <c r="C48" s="157">
        <v>177.12</v>
      </c>
      <c r="E48" s="50">
        <f>IF(E24*0.01&gt;C48,C48,E24*0.01)</f>
        <v>0</v>
      </c>
      <c r="F48" s="51" t="s">
        <v>207</v>
      </c>
      <c r="G48" s="36" t="s">
        <v>243</v>
      </c>
    </row>
    <row r="49" spans="3:10" x14ac:dyDescent="0.3">
      <c r="E49" s="67"/>
      <c r="F49" s="51"/>
      <c r="G49" s="36"/>
    </row>
    <row r="51" spans="3:10" x14ac:dyDescent="0.3">
      <c r="I51" s="68"/>
    </row>
    <row r="52" spans="3:10" x14ac:dyDescent="0.3">
      <c r="C52" s="74"/>
      <c r="J52" s="68"/>
    </row>
    <row r="53" spans="3:10" x14ac:dyDescent="0.3">
      <c r="C53" s="43"/>
      <c r="D53"/>
    </row>
    <row r="54" spans="3:10" x14ac:dyDescent="0.3">
      <c r="C54" s="43"/>
      <c r="D54"/>
    </row>
    <row r="55" spans="3:10" x14ac:dyDescent="0.3">
      <c r="C55" s="43"/>
      <c r="D55"/>
    </row>
  </sheetData>
  <sheetProtection algorithmName="SHA-512" hashValue="olIx4D7S4fGW+hecoONOyxKya2Ktf6TNW4rH0BZDON5p69ywVRgferx42bwZjogiLajw0+5/5sHsivPaQVUpAA==" saltValue="LTtTrVZxIumomouVZTD+LA==" spinCount="100000" sheet="1" objects="1" scenarios="1" selectLockedCells="1"/>
  <mergeCells count="4">
    <mergeCell ref="E26:E33"/>
    <mergeCell ref="B11:C11"/>
    <mergeCell ref="B24:C24"/>
    <mergeCell ref="B15:C15"/>
  </mergeCells>
  <dataValidations count="1">
    <dataValidation type="list" allowBlank="1" showInputMessage="1" showErrorMessage="1" sqref="A9" xr:uid="{00000000-0002-0000-0300-000000000000}">
      <formula1>"020%,080%,100%"</formula1>
    </dataValidation>
  </dataValidations>
  <pageMargins left="0.7" right="0.7" top="0.75" bottom="0.75" header="0.3" footer="0.3"/>
  <pageSetup paperSize="9" scale="52" orientation="landscape" r:id="rId1"/>
  <colBreaks count="1" manualBreakCount="1">
    <brk id="7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H53"/>
  <sheetViews>
    <sheetView topLeftCell="A18" zoomScale="110" zoomScaleNormal="110" workbookViewId="0">
      <selection activeCell="K33" sqref="K33"/>
    </sheetView>
  </sheetViews>
  <sheetFormatPr defaultRowHeight="14.4" x14ac:dyDescent="0.3"/>
  <cols>
    <col min="1" max="1" width="15.109375" customWidth="1"/>
    <col min="2" max="2" width="4.5546875" customWidth="1"/>
    <col min="3" max="3" width="15.109375" customWidth="1"/>
    <col min="4" max="4" width="16.109375" bestFit="1" customWidth="1"/>
    <col min="5" max="5" width="12.44140625" bestFit="1" customWidth="1"/>
    <col min="6" max="6" width="19.5546875" customWidth="1"/>
    <col min="7" max="7" width="13.88671875" customWidth="1"/>
    <col min="8" max="8" width="9.33203125" bestFit="1" customWidth="1"/>
  </cols>
  <sheetData>
    <row r="1" spans="1:8" ht="15.75" customHeight="1" x14ac:dyDescent="0.3">
      <c r="A1" s="379" t="s">
        <v>362</v>
      </c>
      <c r="B1" s="380"/>
      <c r="C1" s="380"/>
      <c r="D1" s="380"/>
      <c r="E1" s="380"/>
      <c r="F1" s="380"/>
      <c r="G1" s="381"/>
      <c r="H1" s="1"/>
    </row>
    <row r="2" spans="1:8" ht="15.75" customHeight="1" thickBot="1" x14ac:dyDescent="0.35">
      <c r="A2" s="382" t="s">
        <v>363</v>
      </c>
      <c r="B2" s="383"/>
      <c r="C2" s="383"/>
      <c r="D2" s="383"/>
      <c r="E2" s="383"/>
      <c r="F2" s="383"/>
      <c r="G2" s="384"/>
      <c r="H2" s="1"/>
    </row>
    <row r="3" spans="1:8" x14ac:dyDescent="0.3">
      <c r="A3" s="305"/>
      <c r="B3" s="306"/>
      <c r="C3" s="306"/>
      <c r="D3" s="306"/>
      <c r="E3" s="307"/>
      <c r="F3" s="306"/>
      <c r="G3" s="308"/>
    </row>
    <row r="4" spans="1:8" x14ac:dyDescent="0.3">
      <c r="A4" s="376" t="s">
        <v>36</v>
      </c>
      <c r="B4" s="377"/>
      <c r="C4" s="378"/>
      <c r="D4" s="309" t="s">
        <v>62</v>
      </c>
      <c r="E4" s="373" t="s">
        <v>63</v>
      </c>
      <c r="F4" s="374"/>
      <c r="G4" s="375"/>
      <c r="H4" s="1"/>
    </row>
    <row r="5" spans="1:8" x14ac:dyDescent="0.3">
      <c r="A5" s="340">
        <v>0</v>
      </c>
      <c r="B5" s="341" t="s">
        <v>74</v>
      </c>
      <c r="C5" s="342">
        <v>245100</v>
      </c>
      <c r="D5" s="343">
        <v>0</v>
      </c>
      <c r="E5" s="344">
        <v>0.18</v>
      </c>
      <c r="F5" s="345" t="s">
        <v>64</v>
      </c>
      <c r="G5" s="346"/>
      <c r="H5" s="1"/>
    </row>
    <row r="6" spans="1:8" x14ac:dyDescent="0.3">
      <c r="A6" s="347">
        <f>+C5+1</f>
        <v>245101</v>
      </c>
      <c r="B6" s="348" t="s">
        <v>74</v>
      </c>
      <c r="C6" s="349">
        <v>383100</v>
      </c>
      <c r="D6" s="343">
        <v>44118</v>
      </c>
      <c r="E6" s="344">
        <v>0.26</v>
      </c>
      <c r="F6" s="345" t="s">
        <v>65</v>
      </c>
      <c r="G6" s="350">
        <f>+C5</f>
        <v>245100</v>
      </c>
      <c r="H6" s="1"/>
    </row>
    <row r="7" spans="1:8" x14ac:dyDescent="0.3">
      <c r="A7" s="347">
        <f t="shared" ref="A7:A11" si="0">+C6+1</f>
        <v>383101</v>
      </c>
      <c r="B7" s="348" t="s">
        <v>74</v>
      </c>
      <c r="C7" s="349">
        <v>530200</v>
      </c>
      <c r="D7" s="343">
        <v>79998</v>
      </c>
      <c r="E7" s="344">
        <v>0.31</v>
      </c>
      <c r="F7" s="345" t="s">
        <v>65</v>
      </c>
      <c r="G7" s="350">
        <f t="shared" ref="G7:G11" si="1">+C6</f>
        <v>383100</v>
      </c>
      <c r="H7" s="1"/>
    </row>
    <row r="8" spans="1:8" x14ac:dyDescent="0.3">
      <c r="A8" s="347">
        <f t="shared" si="0"/>
        <v>530201</v>
      </c>
      <c r="B8" s="348" t="s">
        <v>74</v>
      </c>
      <c r="C8" s="349">
        <v>695800</v>
      </c>
      <c r="D8" s="343">
        <v>125599</v>
      </c>
      <c r="E8" s="344">
        <v>0.36</v>
      </c>
      <c r="F8" s="345" t="s">
        <v>65</v>
      </c>
      <c r="G8" s="350">
        <f t="shared" si="1"/>
        <v>530200</v>
      </c>
      <c r="H8" s="1"/>
    </row>
    <row r="9" spans="1:8" x14ac:dyDescent="0.3">
      <c r="A9" s="347">
        <f t="shared" si="0"/>
        <v>695801</v>
      </c>
      <c r="B9" s="348" t="s">
        <v>74</v>
      </c>
      <c r="C9" s="349">
        <v>887000</v>
      </c>
      <c r="D9" s="343">
        <v>185215</v>
      </c>
      <c r="E9" s="344">
        <v>0.39</v>
      </c>
      <c r="F9" s="345" t="s">
        <v>65</v>
      </c>
      <c r="G9" s="350">
        <f t="shared" si="1"/>
        <v>695800</v>
      </c>
      <c r="H9" s="1"/>
    </row>
    <row r="10" spans="1:8" x14ac:dyDescent="0.3">
      <c r="A10" s="347">
        <f t="shared" si="0"/>
        <v>887001</v>
      </c>
      <c r="B10" s="348"/>
      <c r="C10" s="349">
        <v>1878600</v>
      </c>
      <c r="D10" s="343">
        <v>259783</v>
      </c>
      <c r="E10" s="344">
        <v>0.41</v>
      </c>
      <c r="F10" s="345" t="s">
        <v>65</v>
      </c>
      <c r="G10" s="350">
        <f t="shared" si="1"/>
        <v>887000</v>
      </c>
      <c r="H10" s="1"/>
    </row>
    <row r="11" spans="1:8" x14ac:dyDescent="0.3">
      <c r="A11" s="351">
        <f t="shared" si="0"/>
        <v>1878601</v>
      </c>
      <c r="B11" s="352" t="s">
        <v>74</v>
      </c>
      <c r="C11" s="353" t="s">
        <v>75</v>
      </c>
      <c r="D11" s="354">
        <v>666339</v>
      </c>
      <c r="E11" s="355">
        <v>0.45</v>
      </c>
      <c r="F11" s="356" t="s">
        <v>65</v>
      </c>
      <c r="G11" s="357">
        <f t="shared" si="1"/>
        <v>1878600</v>
      </c>
      <c r="H11" s="1"/>
    </row>
    <row r="12" spans="1:8" x14ac:dyDescent="0.3">
      <c r="A12" s="358"/>
      <c r="E12" s="43"/>
      <c r="G12" s="359"/>
      <c r="H12" s="2"/>
    </row>
    <row r="13" spans="1:8" x14ac:dyDescent="0.3">
      <c r="A13" s="358"/>
      <c r="B13" s="360" t="s">
        <v>66</v>
      </c>
      <c r="C13" s="348">
        <v>0</v>
      </c>
      <c r="D13" s="361">
        <v>-17820</v>
      </c>
      <c r="E13" s="1"/>
      <c r="F13" s="362" t="s">
        <v>67</v>
      </c>
      <c r="G13" s="363">
        <v>99000</v>
      </c>
      <c r="H13" s="3"/>
    </row>
    <row r="14" spans="1:8" x14ac:dyDescent="0.3">
      <c r="A14" s="358"/>
      <c r="B14" s="364" t="s">
        <v>340</v>
      </c>
      <c r="C14" s="348">
        <v>65</v>
      </c>
      <c r="D14" s="361">
        <v>-9765</v>
      </c>
      <c r="E14" s="1"/>
      <c r="F14" s="362" t="s">
        <v>68</v>
      </c>
      <c r="G14" s="363">
        <v>153250</v>
      </c>
      <c r="H14" s="3"/>
    </row>
    <row r="15" spans="1:8" ht="15" thickBot="1" x14ac:dyDescent="0.35">
      <c r="A15" s="365"/>
      <c r="B15" s="366" t="s">
        <v>341</v>
      </c>
      <c r="C15" s="367">
        <v>75</v>
      </c>
      <c r="D15" s="368">
        <v>-3249</v>
      </c>
      <c r="E15" s="369"/>
      <c r="F15" s="370" t="s">
        <v>69</v>
      </c>
      <c r="G15" s="371">
        <v>171300</v>
      </c>
      <c r="H15" s="3"/>
    </row>
    <row r="16" spans="1:8" x14ac:dyDescent="0.3">
      <c r="A16" s="1"/>
      <c r="B16" s="1"/>
      <c r="C16" s="1"/>
      <c r="D16" s="310"/>
      <c r="E16" s="1"/>
      <c r="F16" s="1"/>
      <c r="G16" s="329"/>
      <c r="H16" s="1"/>
    </row>
    <row r="17" spans="1:8" x14ac:dyDescent="0.3">
      <c r="A17" s="26" t="s">
        <v>48</v>
      </c>
      <c r="B17" s="26"/>
    </row>
    <row r="18" spans="1:8" x14ac:dyDescent="0.3">
      <c r="D18" s="62"/>
    </row>
    <row r="19" spans="1:8" x14ac:dyDescent="0.3">
      <c r="A19" t="s">
        <v>76</v>
      </c>
      <c r="E19" s="330">
        <f>+Belasting!E39</f>
        <v>0</v>
      </c>
    </row>
    <row r="20" spans="1:8" x14ac:dyDescent="0.3">
      <c r="A20" s="331" t="s">
        <v>49</v>
      </c>
      <c r="D20" s="62"/>
    </row>
    <row r="22" spans="1:8" x14ac:dyDescent="0.3">
      <c r="A22" t="s">
        <v>50</v>
      </c>
      <c r="D22" s="117"/>
      <c r="E22" s="127" t="b">
        <f>IF($E$19&gt;A11,D11,IF($E$19&gt;A10,D10,IF($E$19&gt;A9,D9,IF($E$19&gt;A8,D8,IF($E$19&gt;A7,D7,IF($E$19&gt;A6,D6,IF($E$19&gt;A5,D5)))))))</f>
        <v>0</v>
      </c>
    </row>
    <row r="23" spans="1:8" x14ac:dyDescent="0.3">
      <c r="A23" t="s">
        <v>51</v>
      </c>
      <c r="E23" s="332"/>
    </row>
    <row r="24" spans="1:8" x14ac:dyDescent="0.3">
      <c r="C24" s="311" t="e">
        <f>VLOOKUP(E22,D5:E11,2)</f>
        <v>#N/A</v>
      </c>
      <c r="D24" s="312" t="e">
        <f>VLOOKUP(C24,E5:G11,3)</f>
        <v>#N/A</v>
      </c>
      <c r="E24" s="70" t="e">
        <f>(E19-D24)*C24</f>
        <v>#N/A</v>
      </c>
      <c r="F24" s="79" t="s">
        <v>77</v>
      </c>
    </row>
    <row r="25" spans="1:8" x14ac:dyDescent="0.3">
      <c r="E25" s="63" t="e">
        <f>SUM(E22:E24)</f>
        <v>#N/A</v>
      </c>
    </row>
    <row r="26" spans="1:8" x14ac:dyDescent="0.3">
      <c r="A26" t="s">
        <v>52</v>
      </c>
      <c r="D26" s="333">
        <f>ROUNDDOWN(YEARFRAC(G26,Syfers!B7),0)</f>
        <v>127</v>
      </c>
      <c r="E26" s="55">
        <f>IF($D$26&gt;=C15,D13+D14+D15,IF($D$26&gt;=C14,D13+D14,IF($D$26&gt;=C13,D13)))</f>
        <v>-30834</v>
      </c>
      <c r="F26" s="28"/>
      <c r="G26" s="339">
        <v>46446</v>
      </c>
    </row>
    <row r="27" spans="1:8" x14ac:dyDescent="0.3">
      <c r="A27" s="69" t="s">
        <v>53</v>
      </c>
      <c r="B27" s="69"/>
      <c r="D27" s="117"/>
      <c r="E27" s="330" t="e">
        <f>SUM(E25:E26)</f>
        <v>#N/A</v>
      </c>
      <c r="F27" s="28"/>
    </row>
    <row r="28" spans="1:8" x14ac:dyDescent="0.3">
      <c r="A28" s="1"/>
      <c r="B28" s="1"/>
      <c r="C28" s="1"/>
      <c r="D28" s="1"/>
      <c r="E28" s="1"/>
      <c r="F28" s="1"/>
      <c r="G28" s="329"/>
      <c r="H28" s="1"/>
    </row>
    <row r="29" spans="1:8" ht="15" thickBot="1" x14ac:dyDescent="0.35">
      <c r="A29" s="1"/>
      <c r="B29" s="1"/>
      <c r="C29" s="1"/>
      <c r="D29" s="310"/>
      <c r="E29" s="1"/>
      <c r="F29" s="1"/>
      <c r="G29" s="329"/>
    </row>
    <row r="30" spans="1:8" ht="16.2" thickBot="1" x14ac:dyDescent="0.35">
      <c r="A30" s="385" t="s">
        <v>346</v>
      </c>
      <c r="B30" s="386"/>
      <c r="C30" s="386"/>
      <c r="D30" s="386"/>
      <c r="E30" s="386"/>
      <c r="F30" s="386"/>
      <c r="G30" s="387"/>
    </row>
    <row r="31" spans="1:8" ht="7.5" customHeight="1" x14ac:dyDescent="0.3">
      <c r="A31" s="1"/>
      <c r="B31" s="1"/>
      <c r="C31" s="1"/>
      <c r="D31" s="313"/>
      <c r="E31" s="1"/>
      <c r="F31" s="1"/>
      <c r="G31" s="1"/>
    </row>
    <row r="32" spans="1:8" x14ac:dyDescent="0.3">
      <c r="C32" s="329" t="s">
        <v>70</v>
      </c>
      <c r="D32" s="372">
        <v>376</v>
      </c>
      <c r="E32" s="1" t="s">
        <v>71</v>
      </c>
      <c r="F32" s="1"/>
      <c r="G32" s="1"/>
    </row>
    <row r="33" spans="1:7" x14ac:dyDescent="0.3">
      <c r="C33" s="329" t="s">
        <v>72</v>
      </c>
      <c r="D33" s="372">
        <v>376</v>
      </c>
      <c r="E33" s="1" t="s">
        <v>71</v>
      </c>
      <c r="F33" s="1"/>
      <c r="G33" s="1"/>
    </row>
    <row r="34" spans="1:7" x14ac:dyDescent="0.3">
      <c r="C34" s="329" t="s">
        <v>73</v>
      </c>
      <c r="D34" s="372">
        <v>254</v>
      </c>
      <c r="E34" s="1" t="s">
        <v>71</v>
      </c>
      <c r="F34" s="1"/>
      <c r="G34" s="1"/>
    </row>
    <row r="35" spans="1:7" x14ac:dyDescent="0.3">
      <c r="A35" s="26"/>
      <c r="B35" s="26"/>
      <c r="D35" s="334"/>
    </row>
    <row r="36" spans="1:7" x14ac:dyDescent="0.3">
      <c r="A36" s="26" t="s">
        <v>54</v>
      </c>
      <c r="B36" s="26"/>
      <c r="D36" s="334"/>
    </row>
    <row r="37" spans="1:7" ht="6.75" customHeight="1" x14ac:dyDescent="0.3">
      <c r="A37" s="26"/>
      <c r="B37" s="26"/>
      <c r="D37" s="334"/>
    </row>
    <row r="38" spans="1:7" x14ac:dyDescent="0.3">
      <c r="D38" s="335" t="s">
        <v>149</v>
      </c>
    </row>
    <row r="39" spans="1:7" x14ac:dyDescent="0.3">
      <c r="A39" t="s">
        <v>55</v>
      </c>
      <c r="D39" s="336">
        <f>+Syfers!D22</f>
        <v>0</v>
      </c>
      <c r="E39" s="69"/>
    </row>
    <row r="40" spans="1:7" x14ac:dyDescent="0.3">
      <c r="A40" s="69" t="s">
        <v>342</v>
      </c>
      <c r="B40" s="69"/>
      <c r="C40" s="69"/>
      <c r="D40" s="337">
        <f>IF(D39&gt;=2,2,D39)</f>
        <v>0</v>
      </c>
      <c r="E40" s="55">
        <f>+D40*D32</f>
        <v>0</v>
      </c>
    </row>
    <row r="41" spans="1:7" ht="15" thickBot="1" x14ac:dyDescent="0.35">
      <c r="A41" s="69" t="s">
        <v>343</v>
      </c>
      <c r="B41" s="69"/>
      <c r="C41" s="69"/>
      <c r="D41" s="117">
        <f>IF((D39-D40)&lt;0,0,(D39-D40))</f>
        <v>0</v>
      </c>
      <c r="E41" s="314">
        <f>+D41*D34</f>
        <v>0</v>
      </c>
    </row>
    <row r="42" spans="1:7" ht="15" thickBot="1" x14ac:dyDescent="0.35">
      <c r="A42" s="65"/>
      <c r="B42" s="65"/>
      <c r="C42" s="65"/>
      <c r="D42" s="338">
        <f>SUM(D40:D41)</f>
        <v>0</v>
      </c>
      <c r="E42" s="98">
        <f>SUM(E40:E41)</f>
        <v>0</v>
      </c>
      <c r="F42" t="s">
        <v>56</v>
      </c>
    </row>
    <row r="43" spans="1:7" ht="15" thickBot="1" x14ac:dyDescent="0.35">
      <c r="A43" s="69"/>
      <c r="B43" s="69"/>
      <c r="D43" s="55"/>
      <c r="E43" s="66">
        <f>+E42*12</f>
        <v>0</v>
      </c>
      <c r="F43" t="s">
        <v>150</v>
      </c>
    </row>
    <row r="44" spans="1:7" x14ac:dyDescent="0.3">
      <c r="A44" s="69"/>
      <c r="B44" s="69"/>
      <c r="D44" s="55"/>
      <c r="E44" s="26"/>
    </row>
    <row r="45" spans="1:7" x14ac:dyDescent="0.3">
      <c r="A45" t="s">
        <v>57</v>
      </c>
      <c r="D45" s="55"/>
    </row>
    <row r="46" spans="1:7" x14ac:dyDescent="0.3">
      <c r="A46" t="s">
        <v>58</v>
      </c>
      <c r="D46" s="55"/>
    </row>
    <row r="47" spans="1:7" x14ac:dyDescent="0.3">
      <c r="A47" t="s">
        <v>59</v>
      </c>
      <c r="D47" s="55"/>
    </row>
    <row r="48" spans="1:7" x14ac:dyDescent="0.3">
      <c r="D48" s="55"/>
    </row>
    <row r="49" spans="1:5" x14ac:dyDescent="0.3">
      <c r="A49" t="s">
        <v>60</v>
      </c>
      <c r="D49" s="315"/>
    </row>
    <row r="50" spans="1:5" x14ac:dyDescent="0.3">
      <c r="A50" s="79" t="s">
        <v>61</v>
      </c>
      <c r="B50" s="79"/>
    </row>
    <row r="51" spans="1:5" x14ac:dyDescent="0.3">
      <c r="E51" s="43"/>
    </row>
    <row r="52" spans="1:5" x14ac:dyDescent="0.3">
      <c r="E52" s="43"/>
    </row>
    <row r="53" spans="1:5" x14ac:dyDescent="0.3">
      <c r="E53" s="43"/>
    </row>
  </sheetData>
  <sheetProtection algorithmName="SHA-512" hashValue="WGUDkhb5MjDJqsMbUhPlsArjOFt8d/gDvOWN3aOw2MZdkfhfWKkRUWR4NoUrobhn86tEycGZveXgbTrNM4AePA==" saltValue="gIFtjZzAOSnJJuHOkA9UwA==" spinCount="100000" sheet="1" selectLockedCells="1" selectUnlockedCells="1"/>
  <mergeCells count="5">
    <mergeCell ref="E4:G4"/>
    <mergeCell ref="A4:C4"/>
    <mergeCell ref="A1:G1"/>
    <mergeCell ref="A2:G2"/>
    <mergeCell ref="A30:G30"/>
  </mergeCells>
  <pageMargins left="0.7" right="0.7" top="0.75" bottom="0.75" header="0.3" footer="0.3"/>
  <pageSetup paperSize="9" scale="75" orientation="portrait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K52"/>
  <sheetViews>
    <sheetView topLeftCell="A3" zoomScale="120" zoomScaleNormal="120" workbookViewId="0">
      <selection activeCell="D16" sqref="D16"/>
    </sheetView>
  </sheetViews>
  <sheetFormatPr defaultColWidth="9.109375" defaultRowHeight="14.4" x14ac:dyDescent="0.3"/>
  <cols>
    <col min="1" max="1" width="2.44140625" customWidth="1"/>
    <col min="2" max="2" width="11.88671875" customWidth="1"/>
    <col min="3" max="3" width="15.109375" customWidth="1"/>
    <col min="4" max="4" width="9.33203125" bestFit="1" customWidth="1"/>
    <col min="5" max="5" width="8.6640625" customWidth="1"/>
    <col min="6" max="6" width="2.88671875" customWidth="1"/>
    <col min="7" max="7" width="11.5546875" customWidth="1"/>
    <col min="8" max="8" width="14.88671875" customWidth="1"/>
    <col min="9" max="9" width="11" bestFit="1" customWidth="1"/>
  </cols>
  <sheetData>
    <row r="1" spans="1:11" ht="18" x14ac:dyDescent="0.35">
      <c r="A1" s="415" t="str">
        <f>CONCATENATE("SALARIS BETALINGSBEWYS van ",+Syfers!B5)</f>
        <v xml:space="preserve">SALARIS BETALINGSBEWYS van </v>
      </c>
      <c r="B1" s="416"/>
      <c r="C1" s="416"/>
      <c r="D1" s="416"/>
      <c r="E1" s="416"/>
      <c r="F1" s="416"/>
      <c r="G1" s="416"/>
      <c r="H1" s="416"/>
      <c r="I1" s="417"/>
      <c r="K1" s="192"/>
    </row>
    <row r="2" spans="1:11" ht="18" x14ac:dyDescent="0.35">
      <c r="A2" s="193"/>
      <c r="B2" s="193"/>
      <c r="C2" s="193"/>
      <c r="D2" s="193"/>
      <c r="E2" s="193"/>
      <c r="F2" s="193"/>
      <c r="G2" s="193"/>
      <c r="H2" s="193"/>
      <c r="I2" s="193"/>
      <c r="K2" s="192"/>
    </row>
    <row r="3" spans="1:11" ht="18" x14ac:dyDescent="0.35">
      <c r="A3" s="49" t="s">
        <v>267</v>
      </c>
      <c r="B3" s="40"/>
      <c r="C3" s="40"/>
      <c r="D3" s="194"/>
      <c r="E3" s="194"/>
      <c r="F3" s="192"/>
      <c r="G3" s="192"/>
      <c r="H3" s="40"/>
      <c r="I3" s="110" t="s">
        <v>268</v>
      </c>
    </row>
    <row r="4" spans="1:11" x14ac:dyDescent="0.3">
      <c r="A4" s="195">
        <f>+Syfers!B6</f>
        <v>0</v>
      </c>
      <c r="F4" s="110"/>
      <c r="H4" s="5"/>
      <c r="I4" s="328"/>
    </row>
    <row r="5" spans="1:11" x14ac:dyDescent="0.3">
      <c r="A5" s="195"/>
      <c r="F5" s="110"/>
      <c r="I5" s="196"/>
    </row>
    <row r="6" spans="1:11" x14ac:dyDescent="0.3">
      <c r="A6" s="197"/>
      <c r="B6" s="198"/>
      <c r="C6" s="198"/>
      <c r="D6" s="198"/>
      <c r="E6" s="198"/>
      <c r="F6" s="199"/>
      <c r="G6" s="198"/>
      <c r="H6" s="198"/>
      <c r="I6" s="200"/>
    </row>
    <row r="7" spans="1:11" x14ac:dyDescent="0.3">
      <c r="D7" s="121"/>
      <c r="E7" s="121"/>
      <c r="F7" s="26"/>
      <c r="G7" s="26"/>
    </row>
    <row r="8" spans="1:11" x14ac:dyDescent="0.3">
      <c r="A8" s="201" t="s">
        <v>155</v>
      </c>
      <c r="B8" s="202"/>
      <c r="C8" s="203"/>
      <c r="D8" s="122"/>
      <c r="E8" s="122"/>
      <c r="F8" s="418" t="s">
        <v>269</v>
      </c>
      <c r="G8" s="418"/>
      <c r="H8" s="418"/>
      <c r="I8" s="418"/>
    </row>
    <row r="9" spans="1:11" x14ac:dyDescent="0.3">
      <c r="A9" s="202"/>
      <c r="B9" s="202" t="s">
        <v>159</v>
      </c>
      <c r="C9" s="203"/>
      <c r="D9" s="120">
        <f>Belasting!E48</f>
        <v>0</v>
      </c>
      <c r="E9" s="120"/>
      <c r="F9" s="5"/>
      <c r="G9" s="5"/>
      <c r="H9" s="5"/>
      <c r="I9" s="204"/>
    </row>
    <row r="10" spans="1:11" x14ac:dyDescent="0.3">
      <c r="A10" s="202"/>
      <c r="B10" s="202" t="s">
        <v>14</v>
      </c>
      <c r="C10" s="203"/>
      <c r="D10" s="145">
        <f>VLOOKUP(B10,Syfers!$B$5:$D$73,3,FALSE)</f>
        <v>0</v>
      </c>
      <c r="E10" s="145"/>
      <c r="F10" s="5"/>
      <c r="G10" s="5" t="s">
        <v>344</v>
      </c>
      <c r="H10" s="5"/>
      <c r="I10" s="204"/>
    </row>
    <row r="11" spans="1:11" x14ac:dyDescent="0.3">
      <c r="A11" s="202"/>
      <c r="B11" s="202" t="s">
        <v>222</v>
      </c>
      <c r="C11" s="203"/>
      <c r="D11" s="145">
        <f>VLOOKUP(B11,Syfers!$B$5:$D$66,3,FALSE)</f>
        <v>0</v>
      </c>
      <c r="E11" s="145"/>
      <c r="F11" s="5"/>
      <c r="G11" s="5" t="s">
        <v>345</v>
      </c>
      <c r="H11" s="5"/>
      <c r="I11" s="204"/>
    </row>
    <row r="12" spans="1:11" x14ac:dyDescent="0.3">
      <c r="A12" s="202"/>
      <c r="B12" s="202" t="s">
        <v>283</v>
      </c>
      <c r="C12" s="203"/>
      <c r="D12" s="145">
        <f>VLOOKUP(B12,Syfers!$B$5:$D$66,3,FALSE)</f>
        <v>0</v>
      </c>
      <c r="E12" s="145"/>
      <c r="F12" s="5"/>
      <c r="G12" s="5"/>
      <c r="H12" s="5"/>
      <c r="I12" s="204"/>
    </row>
    <row r="13" spans="1:11" x14ac:dyDescent="0.3">
      <c r="A13" s="202"/>
      <c r="B13" s="202" t="s">
        <v>232</v>
      </c>
      <c r="C13" s="202"/>
      <c r="D13" s="145">
        <f>VLOOKUP(B13,Syfers!$B$5:$D$66,3,FALSE)</f>
        <v>0</v>
      </c>
      <c r="E13" s="145"/>
      <c r="F13" s="5"/>
      <c r="G13" s="5"/>
      <c r="H13" s="5"/>
      <c r="I13" s="204"/>
    </row>
    <row r="14" spans="1:11" x14ac:dyDescent="0.3">
      <c r="A14" s="202"/>
      <c r="B14" s="202" t="s">
        <v>233</v>
      </c>
      <c r="C14" s="202"/>
      <c r="D14" s="145">
        <f>VLOOKUP(B14,Syfers!$B$5:$D$66,3,FALSE)</f>
        <v>0</v>
      </c>
      <c r="E14" s="145"/>
      <c r="F14" s="5"/>
      <c r="G14" s="5"/>
      <c r="H14" s="5"/>
      <c r="I14" s="204"/>
    </row>
    <row r="15" spans="1:11" x14ac:dyDescent="0.3">
      <c r="A15" s="202"/>
      <c r="B15" s="202" t="s">
        <v>234</v>
      </c>
      <c r="C15" s="202"/>
      <c r="D15" s="145">
        <f>VLOOKUP(B15,Syfers!$B$5:$D$66,3,FALSE)</f>
        <v>0</v>
      </c>
      <c r="E15" s="145"/>
      <c r="F15" s="5"/>
      <c r="G15" s="5"/>
      <c r="H15" s="5"/>
      <c r="I15" s="204"/>
    </row>
    <row r="16" spans="1:11" x14ac:dyDescent="0.3">
      <c r="A16" s="202"/>
      <c r="B16" s="216" t="s">
        <v>360</v>
      </c>
      <c r="C16" s="216"/>
      <c r="D16" s="234"/>
      <c r="E16" s="145"/>
      <c r="F16" s="5"/>
      <c r="G16" s="5"/>
      <c r="H16" s="5"/>
      <c r="I16" s="206"/>
    </row>
    <row r="17" spans="1:9" x14ac:dyDescent="0.3">
      <c r="A17" s="202"/>
      <c r="B17" s="201" t="s">
        <v>162</v>
      </c>
      <c r="C17" s="203"/>
      <c r="D17" s="123">
        <f>SUM(D9:D16)</f>
        <v>0</v>
      </c>
      <c r="E17" s="189"/>
      <c r="F17" s="5"/>
      <c r="G17" s="5"/>
      <c r="H17" s="5"/>
      <c r="I17" s="5"/>
    </row>
    <row r="18" spans="1:9" x14ac:dyDescent="0.3">
      <c r="A18" s="202"/>
      <c r="B18" s="201"/>
      <c r="C18" s="203"/>
      <c r="D18" s="124"/>
      <c r="E18" s="124"/>
      <c r="F18" s="56"/>
      <c r="G18" s="56"/>
      <c r="H18" s="4"/>
    </row>
    <row r="19" spans="1:9" x14ac:dyDescent="0.3">
      <c r="A19" s="201" t="s">
        <v>156</v>
      </c>
      <c r="B19" s="202"/>
      <c r="C19" s="203"/>
      <c r="D19" s="124"/>
      <c r="E19" s="124"/>
      <c r="F19" s="201" t="s">
        <v>157</v>
      </c>
      <c r="G19" s="202"/>
      <c r="H19" s="203"/>
      <c r="I19" s="145"/>
    </row>
    <row r="20" spans="1:9" x14ac:dyDescent="0.3">
      <c r="A20" s="202"/>
      <c r="B20" s="202" t="s">
        <v>240</v>
      </c>
      <c r="C20" s="202"/>
      <c r="D20" s="145">
        <f>VLOOKUP(B20,Syfers!$B$5:$D$66,3,FALSE)</f>
        <v>0</v>
      </c>
      <c r="E20" s="145"/>
      <c r="F20" s="202"/>
      <c r="G20" s="202" t="s">
        <v>158</v>
      </c>
      <c r="H20" s="203"/>
      <c r="I20" s="145">
        <f>IFERROR(+Belasting!E45,0)</f>
        <v>0</v>
      </c>
    </row>
    <row r="21" spans="1:9" x14ac:dyDescent="0.3">
      <c r="A21" s="202"/>
      <c r="B21" s="202" t="s">
        <v>237</v>
      </c>
      <c r="C21" s="202" t="s">
        <v>0</v>
      </c>
      <c r="D21" s="145">
        <f>VLOOKUP(B21,Syfers!$B$5:$G$66,6,FALSE)</f>
        <v>0</v>
      </c>
      <c r="E21" s="145"/>
      <c r="F21" s="202"/>
      <c r="G21" s="202" t="s">
        <v>159</v>
      </c>
      <c r="H21" s="203"/>
      <c r="I21" s="145">
        <f>+D9</f>
        <v>0</v>
      </c>
    </row>
    <row r="22" spans="1:9" x14ac:dyDescent="0.3">
      <c r="A22" s="202"/>
      <c r="B22" s="205" t="s">
        <v>270</v>
      </c>
      <c r="C22" s="205"/>
      <c r="D22" s="234"/>
      <c r="E22" s="207"/>
      <c r="F22" s="202"/>
      <c r="G22" s="202" t="s">
        <v>15</v>
      </c>
      <c r="H22" s="202"/>
      <c r="I22" s="145">
        <f>VLOOKUP(G22,Syfers!$B$5:$D$66,3,FALSE)</f>
        <v>0</v>
      </c>
    </row>
    <row r="23" spans="1:9" x14ac:dyDescent="0.3">
      <c r="A23" s="202"/>
      <c r="B23" s="202" t="s">
        <v>218</v>
      </c>
      <c r="C23" s="202"/>
      <c r="D23" s="145">
        <f>IFERROR(VLOOKUP(B23,Syfers!$B$5:$D$66,3,FALSE),0)</f>
        <v>0</v>
      </c>
      <c r="E23" s="145"/>
      <c r="F23" s="202"/>
      <c r="G23" s="202" t="s">
        <v>220</v>
      </c>
      <c r="H23" s="202"/>
      <c r="I23" s="145">
        <f>VLOOKUP(G23,Syfers!$B$5:$D$66,3,FALSE)</f>
        <v>0</v>
      </c>
    </row>
    <row r="24" spans="1:9" x14ac:dyDescent="0.3">
      <c r="A24" s="202"/>
      <c r="B24" s="202" t="s">
        <v>2</v>
      </c>
      <c r="C24" s="202"/>
      <c r="D24" s="145">
        <f>IFERROR(VLOOKUP(B24,Syfers!$B$5:$D$66,3,FALSE),0)</f>
        <v>0</v>
      </c>
      <c r="E24" s="145"/>
      <c r="F24" s="202"/>
      <c r="G24" s="202" t="s">
        <v>225</v>
      </c>
      <c r="H24" s="202"/>
      <c r="I24" s="145">
        <f>VLOOKUP(G24,Syfers!$B$5:$D$66,3,FALSE)</f>
        <v>0</v>
      </c>
    </row>
    <row r="25" spans="1:9" x14ac:dyDescent="0.3">
      <c r="A25" s="202"/>
      <c r="B25" s="202" t="str">
        <f>+Syfers!B29</f>
        <v>Ander toelaag</v>
      </c>
      <c r="C25" s="202"/>
      <c r="D25" s="145">
        <f>IFERROR(VLOOKUP(B25,Syfers!$B$5:$D$66,3,FALSE),0)</f>
        <v>0</v>
      </c>
      <c r="E25" s="145"/>
      <c r="F25" s="202"/>
      <c r="G25" s="202" t="s">
        <v>227</v>
      </c>
      <c r="H25" s="208"/>
      <c r="I25" s="145">
        <f>VLOOKUP(G25,Syfers!$B$5:$D$66,3,FALSE)</f>
        <v>0</v>
      </c>
    </row>
    <row r="26" spans="1:9" x14ac:dyDescent="0.3">
      <c r="A26" s="202"/>
      <c r="B26" s="202"/>
      <c r="C26" s="202"/>
      <c r="D26" s="145"/>
      <c r="E26" s="145"/>
      <c r="F26" s="202"/>
      <c r="G26" s="202" t="s">
        <v>245</v>
      </c>
      <c r="H26" s="208"/>
      <c r="I26" s="145">
        <f>VLOOKUP(G26,Syfers!$B$5:$D$66,3,FALSE)</f>
        <v>0</v>
      </c>
    </row>
    <row r="27" spans="1:9" x14ac:dyDescent="0.3">
      <c r="A27" s="202"/>
      <c r="B27" s="202"/>
      <c r="C27" s="202"/>
      <c r="D27" s="145"/>
      <c r="E27" s="145"/>
      <c r="F27" s="202"/>
      <c r="G27" s="202" t="s">
        <v>224</v>
      </c>
      <c r="H27" s="208"/>
      <c r="I27" s="145">
        <f>VLOOKUP(G27,Syfers!$B$5:$D$66,3,FALSE)</f>
        <v>0</v>
      </c>
    </row>
    <row r="28" spans="1:9" x14ac:dyDescent="0.3">
      <c r="A28" s="202"/>
      <c r="B28" s="202"/>
      <c r="C28" s="202"/>
      <c r="D28" s="145"/>
      <c r="E28" s="145"/>
      <c r="F28" s="202"/>
      <c r="G28" s="202" t="s">
        <v>16</v>
      </c>
      <c r="H28" s="202"/>
      <c r="I28" s="145">
        <f>VLOOKUP(G28,Syfers!$B$5:$D$66,3,FALSE)</f>
        <v>0</v>
      </c>
    </row>
    <row r="29" spans="1:9" x14ac:dyDescent="0.3">
      <c r="B29" s="202"/>
      <c r="F29" s="202"/>
      <c r="G29" s="202" t="s">
        <v>215</v>
      </c>
      <c r="H29" s="202"/>
      <c r="I29" s="145">
        <f>VLOOKUP(G29,Syfers!$B$5:$D$66,3,FALSE)</f>
        <v>0</v>
      </c>
    </row>
    <row r="30" spans="1:9" x14ac:dyDescent="0.3">
      <c r="A30" s="202"/>
      <c r="B30" s="202"/>
      <c r="C30" s="202"/>
      <c r="D30" s="202"/>
      <c r="E30" s="202"/>
      <c r="F30" s="202"/>
      <c r="G30" s="202" t="s">
        <v>13</v>
      </c>
      <c r="H30" s="202"/>
      <c r="I30" s="145">
        <f>VLOOKUP(G30,Syfers!$B$5:$D$66,3,FALSE)</f>
        <v>0</v>
      </c>
    </row>
    <row r="31" spans="1:9" x14ac:dyDescent="0.3">
      <c r="A31" s="202"/>
      <c r="B31" s="202"/>
      <c r="C31" s="202"/>
      <c r="D31" s="202"/>
      <c r="E31" s="202"/>
      <c r="F31" s="202"/>
      <c r="G31" s="202" t="str">
        <f>+Syfers!B55</f>
        <v>LBS op bonus</v>
      </c>
      <c r="H31" s="202"/>
      <c r="I31" s="145">
        <f>VLOOKUP(G31,Syfers!$B$5:$D$66,3,FALSE)</f>
        <v>0</v>
      </c>
    </row>
    <row r="32" spans="1:9" x14ac:dyDescent="0.3">
      <c r="B32" s="202"/>
      <c r="F32" s="202"/>
      <c r="G32" s="202" t="str">
        <f>+Syfers!B56</f>
        <v>Add WVF op bonus</v>
      </c>
      <c r="H32" s="202"/>
      <c r="I32" s="145">
        <f>VLOOKUP(G32,Syfers!$B$5:$D$66,3,FALSE)</f>
        <v>0</v>
      </c>
    </row>
    <row r="33" spans="1:9" x14ac:dyDescent="0.3">
      <c r="B33" s="202"/>
      <c r="D33" s="73"/>
      <c r="F33" s="202"/>
      <c r="G33" s="202" t="str">
        <f>+Syfers!B57</f>
        <v>Ander: x</v>
      </c>
      <c r="H33" s="202"/>
      <c r="I33" s="119">
        <f>VLOOKUP(G33,Syfers!$B$5:$D$66,3,FALSE)</f>
        <v>0</v>
      </c>
    </row>
    <row r="34" spans="1:9" x14ac:dyDescent="0.3">
      <c r="A34" s="202"/>
      <c r="B34" s="209" t="s">
        <v>161</v>
      </c>
      <c r="C34" s="202"/>
      <c r="D34" s="125">
        <f>SUM(D20:D33)</f>
        <v>0</v>
      </c>
      <c r="E34" s="125"/>
      <c r="F34" s="202"/>
      <c r="G34" s="209" t="s">
        <v>163</v>
      </c>
      <c r="H34" s="202"/>
      <c r="I34" s="126">
        <f>SUM(I20:I33)</f>
        <v>0</v>
      </c>
    </row>
    <row r="35" spans="1:9" ht="15" thickBot="1" x14ac:dyDescent="0.35">
      <c r="F35" s="202"/>
      <c r="G35" s="209"/>
      <c r="H35" s="202"/>
      <c r="I35" s="126"/>
    </row>
    <row r="36" spans="1:9" ht="15.6" thickTop="1" thickBot="1" x14ac:dyDescent="0.35">
      <c r="A36" s="210" t="s">
        <v>271</v>
      </c>
      <c r="B36" s="79"/>
      <c r="C36" s="79"/>
      <c r="D36" s="211">
        <f>+D17+D34</f>
        <v>0</v>
      </c>
      <c r="F36" s="201" t="s">
        <v>160</v>
      </c>
      <c r="G36" s="202"/>
      <c r="H36" s="202"/>
      <c r="I36" s="212">
        <f>+D34-I34</f>
        <v>0</v>
      </c>
    </row>
    <row r="37" spans="1:9" ht="15" thickTop="1" x14ac:dyDescent="0.3">
      <c r="F37" s="201"/>
      <c r="G37" s="202"/>
      <c r="H37" s="202"/>
      <c r="I37" s="190"/>
    </row>
    <row r="38" spans="1:9" x14ac:dyDescent="0.3">
      <c r="A38" s="198"/>
      <c r="B38" s="198"/>
      <c r="C38" s="198"/>
      <c r="D38" s="198"/>
      <c r="E38" s="198"/>
      <c r="F38" s="213"/>
      <c r="G38" s="214"/>
      <c r="H38" s="214"/>
      <c r="I38" s="215"/>
    </row>
    <row r="39" spans="1:9" x14ac:dyDescent="0.3"/>
    <row r="40" spans="1:9" x14ac:dyDescent="0.3">
      <c r="A40" s="201" t="s">
        <v>272</v>
      </c>
      <c r="D40" s="5"/>
      <c r="F40" s="201" t="s">
        <v>273</v>
      </c>
      <c r="G40" s="202"/>
      <c r="H40" s="202"/>
      <c r="I40" s="216"/>
    </row>
    <row r="41" spans="1:9" x14ac:dyDescent="0.3">
      <c r="B41" s="203" t="s">
        <v>274</v>
      </c>
      <c r="D41" s="217"/>
      <c r="G41" s="203" t="s">
        <v>275</v>
      </c>
      <c r="I41" s="217"/>
    </row>
    <row r="42" spans="1:9" ht="5.25" customHeight="1" x14ac:dyDescent="0.3">
      <c r="B42" s="203"/>
      <c r="D42" s="218"/>
      <c r="G42" s="203"/>
      <c r="I42" s="219"/>
    </row>
    <row r="43" spans="1:9" x14ac:dyDescent="0.3">
      <c r="B43" s="203" t="s">
        <v>276</v>
      </c>
      <c r="D43" s="219"/>
      <c r="G43" s="419" t="s">
        <v>277</v>
      </c>
      <c r="H43" s="419"/>
      <c r="I43" s="419"/>
    </row>
    <row r="44" spans="1:9" x14ac:dyDescent="0.3">
      <c r="B44" s="220" t="s">
        <v>278</v>
      </c>
      <c r="D44" s="221">
        <f>+D41/12</f>
        <v>0</v>
      </c>
      <c r="G44" s="203" t="s">
        <v>276</v>
      </c>
      <c r="I44" s="219"/>
    </row>
    <row r="45" spans="1:9" x14ac:dyDescent="0.3">
      <c r="B45" s="220" t="s">
        <v>279</v>
      </c>
      <c r="D45" s="219"/>
      <c r="G45" s="220" t="s">
        <v>279</v>
      </c>
      <c r="I45" s="219"/>
    </row>
    <row r="46" spans="1:9" ht="15" thickBot="1" x14ac:dyDescent="0.35">
      <c r="B46" s="220" t="s">
        <v>280</v>
      </c>
      <c r="D46" s="222">
        <f>+D43+D44-D45</f>
        <v>0</v>
      </c>
      <c r="G46" s="220" t="s">
        <v>280</v>
      </c>
      <c r="I46" s="222">
        <f>+I44-I45</f>
        <v>0</v>
      </c>
    </row>
    <row r="47" spans="1:9" ht="6.75" customHeight="1" thickTop="1" x14ac:dyDescent="0.3">
      <c r="B47" s="220"/>
      <c r="D47" s="223"/>
      <c r="G47" s="220"/>
      <c r="I47" s="216"/>
    </row>
    <row r="48" spans="1:9" x14ac:dyDescent="0.3">
      <c r="B48" s="203" t="s">
        <v>281</v>
      </c>
      <c r="D48" s="224"/>
      <c r="G48" s="203" t="s">
        <v>282</v>
      </c>
      <c r="I48" s="225"/>
    </row>
    <row r="49" spans="6:8" x14ac:dyDescent="0.3">
      <c r="F49" s="188"/>
      <c r="G49" s="188"/>
      <c r="H49" s="144"/>
    </row>
    <row r="50" spans="6:8" x14ac:dyDescent="0.3">
      <c r="F50" s="126"/>
      <c r="G50" s="126"/>
      <c r="H50" s="144"/>
    </row>
    <row r="51" spans="6:8" x14ac:dyDescent="0.3">
      <c r="F51" s="50"/>
      <c r="G51" s="50"/>
      <c r="H51" s="144"/>
    </row>
    <row r="52" spans="6:8" x14ac:dyDescent="0.3">
      <c r="F52" s="191"/>
      <c r="G52" s="191"/>
    </row>
  </sheetData>
  <sheetProtection algorithmName="SHA-512" hashValue="ktwmLW6mXMlcZGUmYL5qsWjA8He4C9c1Wdn99Dokrg6JmYDNtHsnE9FyYxQdfa5o1lW/ui6T75+vD69CrqKDwA==" saltValue="GsnDidCWChPcQFXjdR0GbA==" spinCount="100000" sheet="1" objects="1" scenarios="1" formatCells="0" selectLockedCells="1"/>
  <mergeCells count="3">
    <mergeCell ref="A1:I1"/>
    <mergeCell ref="F8:I8"/>
    <mergeCell ref="G43:I43"/>
  </mergeCells>
  <dataValidations count="1">
    <dataValidation type="list" allowBlank="1" showInputMessage="1" showErrorMessage="1" promptTitle="Reis" prompt="Maak keuse" sqref="B24" xr:uid="{00000000-0002-0000-0500-000000000000}">
      <formula1>"VOERTUIG- EN VERVOERTOELAE, WERKSMOTOR VIR PRIVAAT &amp; WERK, GEEN"</formula1>
    </dataValidation>
  </dataValidations>
  <pageMargins left="0.7" right="0.7" top="0.75" bottom="0.75" header="0.3" footer="0.3"/>
  <pageSetup paperSize="9" scale="9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39997558519241921"/>
  </sheetPr>
  <dimension ref="A1:J119"/>
  <sheetViews>
    <sheetView zoomScale="130" zoomScaleNormal="130" workbookViewId="0">
      <selection activeCell="F25" sqref="F25"/>
    </sheetView>
  </sheetViews>
  <sheetFormatPr defaultRowHeight="14.4" x14ac:dyDescent="0.3"/>
  <cols>
    <col min="1" max="1" width="4" style="5" customWidth="1"/>
    <col min="2" max="2" width="42.88671875" style="5" customWidth="1"/>
    <col min="3" max="3" width="8" style="248" customWidth="1"/>
    <col min="4" max="4" width="15.109375" style="5" customWidth="1"/>
    <col min="5" max="5" width="11.88671875" style="5" bestFit="1" customWidth="1"/>
    <col min="6" max="256" width="9.109375" style="5"/>
    <col min="257" max="257" width="4" style="5" customWidth="1"/>
    <col min="258" max="258" width="41" style="5" customWidth="1"/>
    <col min="259" max="259" width="8" style="5" customWidth="1"/>
    <col min="260" max="260" width="15.109375" style="5" customWidth="1"/>
    <col min="261" max="261" width="11.88671875" style="5" bestFit="1" customWidth="1"/>
    <col min="262" max="512" width="9.109375" style="5"/>
    <col min="513" max="513" width="4" style="5" customWidth="1"/>
    <col min="514" max="514" width="41" style="5" customWidth="1"/>
    <col min="515" max="515" width="8" style="5" customWidth="1"/>
    <col min="516" max="516" width="15.109375" style="5" customWidth="1"/>
    <col min="517" max="517" width="11.88671875" style="5" bestFit="1" customWidth="1"/>
    <col min="518" max="768" width="9.109375" style="5"/>
    <col min="769" max="769" width="4" style="5" customWidth="1"/>
    <col min="770" max="770" width="41" style="5" customWidth="1"/>
    <col min="771" max="771" width="8" style="5" customWidth="1"/>
    <col min="772" max="772" width="15.109375" style="5" customWidth="1"/>
    <col min="773" max="773" width="11.88671875" style="5" bestFit="1" customWidth="1"/>
    <col min="774" max="1024" width="9.109375" style="5"/>
    <col min="1025" max="1025" width="4" style="5" customWidth="1"/>
    <col min="1026" max="1026" width="41" style="5" customWidth="1"/>
    <col min="1027" max="1027" width="8" style="5" customWidth="1"/>
    <col min="1028" max="1028" width="15.109375" style="5" customWidth="1"/>
    <col min="1029" max="1029" width="11.88671875" style="5" bestFit="1" customWidth="1"/>
    <col min="1030" max="1280" width="9.109375" style="5"/>
    <col min="1281" max="1281" width="4" style="5" customWidth="1"/>
    <col min="1282" max="1282" width="41" style="5" customWidth="1"/>
    <col min="1283" max="1283" width="8" style="5" customWidth="1"/>
    <col min="1284" max="1284" width="15.109375" style="5" customWidth="1"/>
    <col min="1285" max="1285" width="11.88671875" style="5" bestFit="1" customWidth="1"/>
    <col min="1286" max="1536" width="9.109375" style="5"/>
    <col min="1537" max="1537" width="4" style="5" customWidth="1"/>
    <col min="1538" max="1538" width="41" style="5" customWidth="1"/>
    <col min="1539" max="1539" width="8" style="5" customWidth="1"/>
    <col min="1540" max="1540" width="15.109375" style="5" customWidth="1"/>
    <col min="1541" max="1541" width="11.88671875" style="5" bestFit="1" customWidth="1"/>
    <col min="1542" max="1792" width="9.109375" style="5"/>
    <col min="1793" max="1793" width="4" style="5" customWidth="1"/>
    <col min="1794" max="1794" width="41" style="5" customWidth="1"/>
    <col min="1795" max="1795" width="8" style="5" customWidth="1"/>
    <col min="1796" max="1796" width="15.109375" style="5" customWidth="1"/>
    <col min="1797" max="1797" width="11.88671875" style="5" bestFit="1" customWidth="1"/>
    <col min="1798" max="2048" width="9.109375" style="5"/>
    <col min="2049" max="2049" width="4" style="5" customWidth="1"/>
    <col min="2050" max="2050" width="41" style="5" customWidth="1"/>
    <col min="2051" max="2051" width="8" style="5" customWidth="1"/>
    <col min="2052" max="2052" width="15.109375" style="5" customWidth="1"/>
    <col min="2053" max="2053" width="11.88671875" style="5" bestFit="1" customWidth="1"/>
    <col min="2054" max="2304" width="9.109375" style="5"/>
    <col min="2305" max="2305" width="4" style="5" customWidth="1"/>
    <col min="2306" max="2306" width="41" style="5" customWidth="1"/>
    <col min="2307" max="2307" width="8" style="5" customWidth="1"/>
    <col min="2308" max="2308" width="15.109375" style="5" customWidth="1"/>
    <col min="2309" max="2309" width="11.88671875" style="5" bestFit="1" customWidth="1"/>
    <col min="2310" max="2560" width="9.109375" style="5"/>
    <col min="2561" max="2561" width="4" style="5" customWidth="1"/>
    <col min="2562" max="2562" width="41" style="5" customWidth="1"/>
    <col min="2563" max="2563" width="8" style="5" customWidth="1"/>
    <col min="2564" max="2564" width="15.109375" style="5" customWidth="1"/>
    <col min="2565" max="2565" width="11.88671875" style="5" bestFit="1" customWidth="1"/>
    <col min="2566" max="2816" width="9.109375" style="5"/>
    <col min="2817" max="2817" width="4" style="5" customWidth="1"/>
    <col min="2818" max="2818" width="41" style="5" customWidth="1"/>
    <col min="2819" max="2819" width="8" style="5" customWidth="1"/>
    <col min="2820" max="2820" width="15.109375" style="5" customWidth="1"/>
    <col min="2821" max="2821" width="11.88671875" style="5" bestFit="1" customWidth="1"/>
    <col min="2822" max="3072" width="9.109375" style="5"/>
    <col min="3073" max="3073" width="4" style="5" customWidth="1"/>
    <col min="3074" max="3074" width="41" style="5" customWidth="1"/>
    <col min="3075" max="3075" width="8" style="5" customWidth="1"/>
    <col min="3076" max="3076" width="15.109375" style="5" customWidth="1"/>
    <col min="3077" max="3077" width="11.88671875" style="5" bestFit="1" customWidth="1"/>
    <col min="3078" max="3328" width="9.109375" style="5"/>
    <col min="3329" max="3329" width="4" style="5" customWidth="1"/>
    <col min="3330" max="3330" width="41" style="5" customWidth="1"/>
    <col min="3331" max="3331" width="8" style="5" customWidth="1"/>
    <col min="3332" max="3332" width="15.109375" style="5" customWidth="1"/>
    <col min="3333" max="3333" width="11.88671875" style="5" bestFit="1" customWidth="1"/>
    <col min="3334" max="3584" width="9.109375" style="5"/>
    <col min="3585" max="3585" width="4" style="5" customWidth="1"/>
    <col min="3586" max="3586" width="41" style="5" customWidth="1"/>
    <col min="3587" max="3587" width="8" style="5" customWidth="1"/>
    <col min="3588" max="3588" width="15.109375" style="5" customWidth="1"/>
    <col min="3589" max="3589" width="11.88671875" style="5" bestFit="1" customWidth="1"/>
    <col min="3590" max="3840" width="9.109375" style="5"/>
    <col min="3841" max="3841" width="4" style="5" customWidth="1"/>
    <col min="3842" max="3842" width="41" style="5" customWidth="1"/>
    <col min="3843" max="3843" width="8" style="5" customWidth="1"/>
    <col min="3844" max="3844" width="15.109375" style="5" customWidth="1"/>
    <col min="3845" max="3845" width="11.88671875" style="5" bestFit="1" customWidth="1"/>
    <col min="3846" max="4096" width="9.109375" style="5"/>
    <col min="4097" max="4097" width="4" style="5" customWidth="1"/>
    <col min="4098" max="4098" width="41" style="5" customWidth="1"/>
    <col min="4099" max="4099" width="8" style="5" customWidth="1"/>
    <col min="4100" max="4100" width="15.109375" style="5" customWidth="1"/>
    <col min="4101" max="4101" width="11.88671875" style="5" bestFit="1" customWidth="1"/>
    <col min="4102" max="4352" width="9.109375" style="5"/>
    <col min="4353" max="4353" width="4" style="5" customWidth="1"/>
    <col min="4354" max="4354" width="41" style="5" customWidth="1"/>
    <col min="4355" max="4355" width="8" style="5" customWidth="1"/>
    <col min="4356" max="4356" width="15.109375" style="5" customWidth="1"/>
    <col min="4357" max="4357" width="11.88671875" style="5" bestFit="1" customWidth="1"/>
    <col min="4358" max="4608" width="9.109375" style="5"/>
    <col min="4609" max="4609" width="4" style="5" customWidth="1"/>
    <col min="4610" max="4610" width="41" style="5" customWidth="1"/>
    <col min="4611" max="4611" width="8" style="5" customWidth="1"/>
    <col min="4612" max="4612" width="15.109375" style="5" customWidth="1"/>
    <col min="4613" max="4613" width="11.88671875" style="5" bestFit="1" customWidth="1"/>
    <col min="4614" max="4864" width="9.109375" style="5"/>
    <col min="4865" max="4865" width="4" style="5" customWidth="1"/>
    <col min="4866" max="4866" width="41" style="5" customWidth="1"/>
    <col min="4867" max="4867" width="8" style="5" customWidth="1"/>
    <col min="4868" max="4868" width="15.109375" style="5" customWidth="1"/>
    <col min="4869" max="4869" width="11.88671875" style="5" bestFit="1" customWidth="1"/>
    <col min="4870" max="5120" width="9.109375" style="5"/>
    <col min="5121" max="5121" width="4" style="5" customWidth="1"/>
    <col min="5122" max="5122" width="41" style="5" customWidth="1"/>
    <col min="5123" max="5123" width="8" style="5" customWidth="1"/>
    <col min="5124" max="5124" width="15.109375" style="5" customWidth="1"/>
    <col min="5125" max="5125" width="11.88671875" style="5" bestFit="1" customWidth="1"/>
    <col min="5126" max="5376" width="9.109375" style="5"/>
    <col min="5377" max="5377" width="4" style="5" customWidth="1"/>
    <col min="5378" max="5378" width="41" style="5" customWidth="1"/>
    <col min="5379" max="5379" width="8" style="5" customWidth="1"/>
    <col min="5380" max="5380" width="15.109375" style="5" customWidth="1"/>
    <col min="5381" max="5381" width="11.88671875" style="5" bestFit="1" customWidth="1"/>
    <col min="5382" max="5632" width="9.109375" style="5"/>
    <col min="5633" max="5633" width="4" style="5" customWidth="1"/>
    <col min="5634" max="5634" width="41" style="5" customWidth="1"/>
    <col min="5635" max="5635" width="8" style="5" customWidth="1"/>
    <col min="5636" max="5636" width="15.109375" style="5" customWidth="1"/>
    <col min="5637" max="5637" width="11.88671875" style="5" bestFit="1" customWidth="1"/>
    <col min="5638" max="5888" width="9.109375" style="5"/>
    <col min="5889" max="5889" width="4" style="5" customWidth="1"/>
    <col min="5890" max="5890" width="41" style="5" customWidth="1"/>
    <col min="5891" max="5891" width="8" style="5" customWidth="1"/>
    <col min="5892" max="5892" width="15.109375" style="5" customWidth="1"/>
    <col min="5893" max="5893" width="11.88671875" style="5" bestFit="1" customWidth="1"/>
    <col min="5894" max="6144" width="9.109375" style="5"/>
    <col min="6145" max="6145" width="4" style="5" customWidth="1"/>
    <col min="6146" max="6146" width="41" style="5" customWidth="1"/>
    <col min="6147" max="6147" width="8" style="5" customWidth="1"/>
    <col min="6148" max="6148" width="15.109375" style="5" customWidth="1"/>
    <col min="6149" max="6149" width="11.88671875" style="5" bestFit="1" customWidth="1"/>
    <col min="6150" max="6400" width="9.109375" style="5"/>
    <col min="6401" max="6401" width="4" style="5" customWidth="1"/>
    <col min="6402" max="6402" width="41" style="5" customWidth="1"/>
    <col min="6403" max="6403" width="8" style="5" customWidth="1"/>
    <col min="6404" max="6404" width="15.109375" style="5" customWidth="1"/>
    <col min="6405" max="6405" width="11.88671875" style="5" bestFit="1" customWidth="1"/>
    <col min="6406" max="6656" width="9.109375" style="5"/>
    <col min="6657" max="6657" width="4" style="5" customWidth="1"/>
    <col min="6658" max="6658" width="41" style="5" customWidth="1"/>
    <col min="6659" max="6659" width="8" style="5" customWidth="1"/>
    <col min="6660" max="6660" width="15.109375" style="5" customWidth="1"/>
    <col min="6661" max="6661" width="11.88671875" style="5" bestFit="1" customWidth="1"/>
    <col min="6662" max="6912" width="9.109375" style="5"/>
    <col min="6913" max="6913" width="4" style="5" customWidth="1"/>
    <col min="6914" max="6914" width="41" style="5" customWidth="1"/>
    <col min="6915" max="6915" width="8" style="5" customWidth="1"/>
    <col min="6916" max="6916" width="15.109375" style="5" customWidth="1"/>
    <col min="6917" max="6917" width="11.88671875" style="5" bestFit="1" customWidth="1"/>
    <col min="6918" max="7168" width="9.109375" style="5"/>
    <col min="7169" max="7169" width="4" style="5" customWidth="1"/>
    <col min="7170" max="7170" width="41" style="5" customWidth="1"/>
    <col min="7171" max="7171" width="8" style="5" customWidth="1"/>
    <col min="7172" max="7172" width="15.109375" style="5" customWidth="1"/>
    <col min="7173" max="7173" width="11.88671875" style="5" bestFit="1" customWidth="1"/>
    <col min="7174" max="7424" width="9.109375" style="5"/>
    <col min="7425" max="7425" width="4" style="5" customWidth="1"/>
    <col min="7426" max="7426" width="41" style="5" customWidth="1"/>
    <col min="7427" max="7427" width="8" style="5" customWidth="1"/>
    <col min="7428" max="7428" width="15.109375" style="5" customWidth="1"/>
    <col min="7429" max="7429" width="11.88671875" style="5" bestFit="1" customWidth="1"/>
    <col min="7430" max="7680" width="9.109375" style="5"/>
    <col min="7681" max="7681" width="4" style="5" customWidth="1"/>
    <col min="7682" max="7682" width="41" style="5" customWidth="1"/>
    <col min="7683" max="7683" width="8" style="5" customWidth="1"/>
    <col min="7684" max="7684" width="15.109375" style="5" customWidth="1"/>
    <col min="7685" max="7685" width="11.88671875" style="5" bestFit="1" customWidth="1"/>
    <col min="7686" max="7936" width="9.109375" style="5"/>
    <col min="7937" max="7937" width="4" style="5" customWidth="1"/>
    <col min="7938" max="7938" width="41" style="5" customWidth="1"/>
    <col min="7939" max="7939" width="8" style="5" customWidth="1"/>
    <col min="7940" max="7940" width="15.109375" style="5" customWidth="1"/>
    <col min="7941" max="7941" width="11.88671875" style="5" bestFit="1" customWidth="1"/>
    <col min="7942" max="8192" width="9.109375" style="5"/>
    <col min="8193" max="8193" width="4" style="5" customWidth="1"/>
    <col min="8194" max="8194" width="41" style="5" customWidth="1"/>
    <col min="8195" max="8195" width="8" style="5" customWidth="1"/>
    <col min="8196" max="8196" width="15.109375" style="5" customWidth="1"/>
    <col min="8197" max="8197" width="11.88671875" style="5" bestFit="1" customWidth="1"/>
    <col min="8198" max="8448" width="9.109375" style="5"/>
    <col min="8449" max="8449" width="4" style="5" customWidth="1"/>
    <col min="8450" max="8450" width="41" style="5" customWidth="1"/>
    <col min="8451" max="8451" width="8" style="5" customWidth="1"/>
    <col min="8452" max="8452" width="15.109375" style="5" customWidth="1"/>
    <col min="8453" max="8453" width="11.88671875" style="5" bestFit="1" customWidth="1"/>
    <col min="8454" max="8704" width="9.109375" style="5"/>
    <col min="8705" max="8705" width="4" style="5" customWidth="1"/>
    <col min="8706" max="8706" width="41" style="5" customWidth="1"/>
    <col min="8707" max="8707" width="8" style="5" customWidth="1"/>
    <col min="8708" max="8708" width="15.109375" style="5" customWidth="1"/>
    <col min="8709" max="8709" width="11.88671875" style="5" bestFit="1" customWidth="1"/>
    <col min="8710" max="8960" width="9.109375" style="5"/>
    <col min="8961" max="8961" width="4" style="5" customWidth="1"/>
    <col min="8962" max="8962" width="41" style="5" customWidth="1"/>
    <col min="8963" max="8963" width="8" style="5" customWidth="1"/>
    <col min="8964" max="8964" width="15.109375" style="5" customWidth="1"/>
    <col min="8965" max="8965" width="11.88671875" style="5" bestFit="1" customWidth="1"/>
    <col min="8966" max="9216" width="9.109375" style="5"/>
    <col min="9217" max="9217" width="4" style="5" customWidth="1"/>
    <col min="9218" max="9218" width="41" style="5" customWidth="1"/>
    <col min="9219" max="9219" width="8" style="5" customWidth="1"/>
    <col min="9220" max="9220" width="15.109375" style="5" customWidth="1"/>
    <col min="9221" max="9221" width="11.88671875" style="5" bestFit="1" customWidth="1"/>
    <col min="9222" max="9472" width="9.109375" style="5"/>
    <col min="9473" max="9473" width="4" style="5" customWidth="1"/>
    <col min="9474" max="9474" width="41" style="5" customWidth="1"/>
    <col min="9475" max="9475" width="8" style="5" customWidth="1"/>
    <col min="9476" max="9476" width="15.109375" style="5" customWidth="1"/>
    <col min="9477" max="9477" width="11.88671875" style="5" bestFit="1" customWidth="1"/>
    <col min="9478" max="9728" width="9.109375" style="5"/>
    <col min="9729" max="9729" width="4" style="5" customWidth="1"/>
    <col min="9730" max="9730" width="41" style="5" customWidth="1"/>
    <col min="9731" max="9731" width="8" style="5" customWidth="1"/>
    <col min="9732" max="9732" width="15.109375" style="5" customWidth="1"/>
    <col min="9733" max="9733" width="11.88671875" style="5" bestFit="1" customWidth="1"/>
    <col min="9734" max="9984" width="9.109375" style="5"/>
    <col min="9985" max="9985" width="4" style="5" customWidth="1"/>
    <col min="9986" max="9986" width="41" style="5" customWidth="1"/>
    <col min="9987" max="9987" width="8" style="5" customWidth="1"/>
    <col min="9988" max="9988" width="15.109375" style="5" customWidth="1"/>
    <col min="9989" max="9989" width="11.88671875" style="5" bestFit="1" customWidth="1"/>
    <col min="9990" max="10240" width="9.109375" style="5"/>
    <col min="10241" max="10241" width="4" style="5" customWidth="1"/>
    <col min="10242" max="10242" width="41" style="5" customWidth="1"/>
    <col min="10243" max="10243" width="8" style="5" customWidth="1"/>
    <col min="10244" max="10244" width="15.109375" style="5" customWidth="1"/>
    <col min="10245" max="10245" width="11.88671875" style="5" bestFit="1" customWidth="1"/>
    <col min="10246" max="10496" width="9.109375" style="5"/>
    <col min="10497" max="10497" width="4" style="5" customWidth="1"/>
    <col min="10498" max="10498" width="41" style="5" customWidth="1"/>
    <col min="10499" max="10499" width="8" style="5" customWidth="1"/>
    <col min="10500" max="10500" width="15.109375" style="5" customWidth="1"/>
    <col min="10501" max="10501" width="11.88671875" style="5" bestFit="1" customWidth="1"/>
    <col min="10502" max="10752" width="9.109375" style="5"/>
    <col min="10753" max="10753" width="4" style="5" customWidth="1"/>
    <col min="10754" max="10754" width="41" style="5" customWidth="1"/>
    <col min="10755" max="10755" width="8" style="5" customWidth="1"/>
    <col min="10756" max="10756" width="15.109375" style="5" customWidth="1"/>
    <col min="10757" max="10757" width="11.88671875" style="5" bestFit="1" customWidth="1"/>
    <col min="10758" max="11008" width="9.109375" style="5"/>
    <col min="11009" max="11009" width="4" style="5" customWidth="1"/>
    <col min="11010" max="11010" width="41" style="5" customWidth="1"/>
    <col min="11011" max="11011" width="8" style="5" customWidth="1"/>
    <col min="11012" max="11012" width="15.109375" style="5" customWidth="1"/>
    <col min="11013" max="11013" width="11.88671875" style="5" bestFit="1" customWidth="1"/>
    <col min="11014" max="11264" width="9.109375" style="5"/>
    <col min="11265" max="11265" width="4" style="5" customWidth="1"/>
    <col min="11266" max="11266" width="41" style="5" customWidth="1"/>
    <col min="11267" max="11267" width="8" style="5" customWidth="1"/>
    <col min="11268" max="11268" width="15.109375" style="5" customWidth="1"/>
    <col min="11269" max="11269" width="11.88671875" style="5" bestFit="1" customWidth="1"/>
    <col min="11270" max="11520" width="9.109375" style="5"/>
    <col min="11521" max="11521" width="4" style="5" customWidth="1"/>
    <col min="11522" max="11522" width="41" style="5" customWidth="1"/>
    <col min="11523" max="11523" width="8" style="5" customWidth="1"/>
    <col min="11524" max="11524" width="15.109375" style="5" customWidth="1"/>
    <col min="11525" max="11525" width="11.88671875" style="5" bestFit="1" customWidth="1"/>
    <col min="11526" max="11776" width="9.109375" style="5"/>
    <col min="11777" max="11777" width="4" style="5" customWidth="1"/>
    <col min="11778" max="11778" width="41" style="5" customWidth="1"/>
    <col min="11779" max="11779" width="8" style="5" customWidth="1"/>
    <col min="11780" max="11780" width="15.109375" style="5" customWidth="1"/>
    <col min="11781" max="11781" width="11.88671875" style="5" bestFit="1" customWidth="1"/>
    <col min="11782" max="12032" width="9.109375" style="5"/>
    <col min="12033" max="12033" width="4" style="5" customWidth="1"/>
    <col min="12034" max="12034" width="41" style="5" customWidth="1"/>
    <col min="12035" max="12035" width="8" style="5" customWidth="1"/>
    <col min="12036" max="12036" width="15.109375" style="5" customWidth="1"/>
    <col min="12037" max="12037" width="11.88671875" style="5" bestFit="1" customWidth="1"/>
    <col min="12038" max="12288" width="9.109375" style="5"/>
    <col min="12289" max="12289" width="4" style="5" customWidth="1"/>
    <col min="12290" max="12290" width="41" style="5" customWidth="1"/>
    <col min="12291" max="12291" width="8" style="5" customWidth="1"/>
    <col min="12292" max="12292" width="15.109375" style="5" customWidth="1"/>
    <col min="12293" max="12293" width="11.88671875" style="5" bestFit="1" customWidth="1"/>
    <col min="12294" max="12544" width="9.109375" style="5"/>
    <col min="12545" max="12545" width="4" style="5" customWidth="1"/>
    <col min="12546" max="12546" width="41" style="5" customWidth="1"/>
    <col min="12547" max="12547" width="8" style="5" customWidth="1"/>
    <col min="12548" max="12548" width="15.109375" style="5" customWidth="1"/>
    <col min="12549" max="12549" width="11.88671875" style="5" bestFit="1" customWidth="1"/>
    <col min="12550" max="12800" width="9.109375" style="5"/>
    <col min="12801" max="12801" width="4" style="5" customWidth="1"/>
    <col min="12802" max="12802" width="41" style="5" customWidth="1"/>
    <col min="12803" max="12803" width="8" style="5" customWidth="1"/>
    <col min="12804" max="12804" width="15.109375" style="5" customWidth="1"/>
    <col min="12805" max="12805" width="11.88671875" style="5" bestFit="1" customWidth="1"/>
    <col min="12806" max="13056" width="9.109375" style="5"/>
    <col min="13057" max="13057" width="4" style="5" customWidth="1"/>
    <col min="13058" max="13058" width="41" style="5" customWidth="1"/>
    <col min="13059" max="13059" width="8" style="5" customWidth="1"/>
    <col min="13060" max="13060" width="15.109375" style="5" customWidth="1"/>
    <col min="13061" max="13061" width="11.88671875" style="5" bestFit="1" customWidth="1"/>
    <col min="13062" max="13312" width="9.109375" style="5"/>
    <col min="13313" max="13313" width="4" style="5" customWidth="1"/>
    <col min="13314" max="13314" width="41" style="5" customWidth="1"/>
    <col min="13315" max="13315" width="8" style="5" customWidth="1"/>
    <col min="13316" max="13316" width="15.109375" style="5" customWidth="1"/>
    <col min="13317" max="13317" width="11.88671875" style="5" bestFit="1" customWidth="1"/>
    <col min="13318" max="13568" width="9.109375" style="5"/>
    <col min="13569" max="13569" width="4" style="5" customWidth="1"/>
    <col min="13570" max="13570" width="41" style="5" customWidth="1"/>
    <col min="13571" max="13571" width="8" style="5" customWidth="1"/>
    <col min="13572" max="13572" width="15.109375" style="5" customWidth="1"/>
    <col min="13573" max="13573" width="11.88671875" style="5" bestFit="1" customWidth="1"/>
    <col min="13574" max="13824" width="9.109375" style="5"/>
    <col min="13825" max="13825" width="4" style="5" customWidth="1"/>
    <col min="13826" max="13826" width="41" style="5" customWidth="1"/>
    <col min="13827" max="13827" width="8" style="5" customWidth="1"/>
    <col min="13828" max="13828" width="15.109375" style="5" customWidth="1"/>
    <col min="13829" max="13829" width="11.88671875" style="5" bestFit="1" customWidth="1"/>
    <col min="13830" max="14080" width="9.109375" style="5"/>
    <col min="14081" max="14081" width="4" style="5" customWidth="1"/>
    <col min="14082" max="14082" width="41" style="5" customWidth="1"/>
    <col min="14083" max="14083" width="8" style="5" customWidth="1"/>
    <col min="14084" max="14084" width="15.109375" style="5" customWidth="1"/>
    <col min="14085" max="14085" width="11.88671875" style="5" bestFit="1" customWidth="1"/>
    <col min="14086" max="14336" width="9.109375" style="5"/>
    <col min="14337" max="14337" width="4" style="5" customWidth="1"/>
    <col min="14338" max="14338" width="41" style="5" customWidth="1"/>
    <col min="14339" max="14339" width="8" style="5" customWidth="1"/>
    <col min="14340" max="14340" width="15.109375" style="5" customWidth="1"/>
    <col min="14341" max="14341" width="11.88671875" style="5" bestFit="1" customWidth="1"/>
    <col min="14342" max="14592" width="9.109375" style="5"/>
    <col min="14593" max="14593" width="4" style="5" customWidth="1"/>
    <col min="14594" max="14594" width="41" style="5" customWidth="1"/>
    <col min="14595" max="14595" width="8" style="5" customWidth="1"/>
    <col min="14596" max="14596" width="15.109375" style="5" customWidth="1"/>
    <col min="14597" max="14597" width="11.88671875" style="5" bestFit="1" customWidth="1"/>
    <col min="14598" max="14848" width="9.109375" style="5"/>
    <col min="14849" max="14849" width="4" style="5" customWidth="1"/>
    <col min="14850" max="14850" width="41" style="5" customWidth="1"/>
    <col min="14851" max="14851" width="8" style="5" customWidth="1"/>
    <col min="14852" max="14852" width="15.109375" style="5" customWidth="1"/>
    <col min="14853" max="14853" width="11.88671875" style="5" bestFit="1" customWidth="1"/>
    <col min="14854" max="15104" width="9.109375" style="5"/>
    <col min="15105" max="15105" width="4" style="5" customWidth="1"/>
    <col min="15106" max="15106" width="41" style="5" customWidth="1"/>
    <col min="15107" max="15107" width="8" style="5" customWidth="1"/>
    <col min="15108" max="15108" width="15.109375" style="5" customWidth="1"/>
    <col min="15109" max="15109" width="11.88671875" style="5" bestFit="1" customWidth="1"/>
    <col min="15110" max="15360" width="9.109375" style="5"/>
    <col min="15361" max="15361" width="4" style="5" customWidth="1"/>
    <col min="15362" max="15362" width="41" style="5" customWidth="1"/>
    <col min="15363" max="15363" width="8" style="5" customWidth="1"/>
    <col min="15364" max="15364" width="15.109375" style="5" customWidth="1"/>
    <col min="15365" max="15365" width="11.88671875" style="5" bestFit="1" customWidth="1"/>
    <col min="15366" max="15616" width="9.109375" style="5"/>
    <col min="15617" max="15617" width="4" style="5" customWidth="1"/>
    <col min="15618" max="15618" width="41" style="5" customWidth="1"/>
    <col min="15619" max="15619" width="8" style="5" customWidth="1"/>
    <col min="15620" max="15620" width="15.109375" style="5" customWidth="1"/>
    <col min="15621" max="15621" width="11.88671875" style="5" bestFit="1" customWidth="1"/>
    <col min="15622" max="15872" width="9.109375" style="5"/>
    <col min="15873" max="15873" width="4" style="5" customWidth="1"/>
    <col min="15874" max="15874" width="41" style="5" customWidth="1"/>
    <col min="15875" max="15875" width="8" style="5" customWidth="1"/>
    <col min="15876" max="15876" width="15.109375" style="5" customWidth="1"/>
    <col min="15877" max="15877" width="11.88671875" style="5" bestFit="1" customWidth="1"/>
    <col min="15878" max="16128" width="9.109375" style="5"/>
    <col min="16129" max="16129" width="4" style="5" customWidth="1"/>
    <col min="16130" max="16130" width="41" style="5" customWidth="1"/>
    <col min="16131" max="16131" width="8" style="5" customWidth="1"/>
    <col min="16132" max="16132" width="15.109375" style="5" customWidth="1"/>
    <col min="16133" max="16133" width="11.88671875" style="5" bestFit="1" customWidth="1"/>
    <col min="16134" max="16384" width="9.109375" style="5"/>
  </cols>
  <sheetData>
    <row r="1" spans="1:10" x14ac:dyDescent="0.3">
      <c r="A1" s="26" t="s">
        <v>320</v>
      </c>
      <c r="B1"/>
      <c r="C1" s="117"/>
      <c r="D1" s="160"/>
      <c r="E1" s="273" t="s">
        <v>321</v>
      </c>
      <c r="F1" s="29"/>
      <c r="G1" s="29"/>
      <c r="H1" s="29"/>
      <c r="I1" s="29"/>
      <c r="J1"/>
    </row>
    <row r="2" spans="1:10" x14ac:dyDescent="0.3">
      <c r="A2" s="26"/>
      <c r="B2"/>
      <c r="C2" s="117"/>
      <c r="E2" s="29"/>
      <c r="F2" s="274"/>
      <c r="G2" s="275"/>
      <c r="H2" s="274"/>
      <c r="I2" s="274"/>
    </row>
    <row r="3" spans="1:10" x14ac:dyDescent="0.3">
      <c r="A3" s="253" t="s">
        <v>322</v>
      </c>
      <c r="B3"/>
      <c r="C3" s="117"/>
      <c r="D3" s="242"/>
      <c r="E3" s="29"/>
      <c r="F3" s="274"/>
      <c r="G3" s="275"/>
      <c r="H3" s="274"/>
      <c r="I3" s="274"/>
    </row>
    <row r="4" spans="1:10" ht="15.6" x14ac:dyDescent="0.35">
      <c r="A4" s="252"/>
      <c r="B4"/>
      <c r="C4" s="117"/>
      <c r="D4" s="242"/>
      <c r="E4" s="29"/>
      <c r="F4" s="274"/>
      <c r="G4" s="275"/>
      <c r="H4" s="274"/>
      <c r="I4" s="274"/>
    </row>
    <row r="5" spans="1:10" x14ac:dyDescent="0.3">
      <c r="A5" s="26"/>
      <c r="B5"/>
      <c r="C5" s="117"/>
      <c r="D5" s="242" t="s">
        <v>164</v>
      </c>
      <c r="E5" s="276"/>
      <c r="F5" s="274"/>
      <c r="G5" s="274"/>
      <c r="H5" s="274"/>
      <c r="I5" s="274"/>
    </row>
    <row r="6" spans="1:10" ht="15" thickBot="1" x14ac:dyDescent="0.35">
      <c r="A6" s="243" t="s">
        <v>166</v>
      </c>
      <c r="B6" s="244"/>
      <c r="C6" s="245" t="s">
        <v>167</v>
      </c>
      <c r="D6" s="251" t="s">
        <v>165</v>
      </c>
      <c r="E6" s="277"/>
      <c r="F6" s="274"/>
      <c r="G6" s="274"/>
      <c r="H6" s="274"/>
      <c r="I6" s="274"/>
    </row>
    <row r="7" spans="1:10" ht="15" thickTop="1" x14ac:dyDescent="0.3">
      <c r="A7" s="26"/>
      <c r="B7"/>
      <c r="C7" s="44"/>
      <c r="D7" s="246"/>
      <c r="E7" s="277"/>
      <c r="F7" s="274"/>
      <c r="G7" s="274"/>
      <c r="H7" s="274"/>
      <c r="I7" s="274"/>
    </row>
    <row r="8" spans="1:10" x14ac:dyDescent="0.3">
      <c r="A8" s="422" t="s">
        <v>168</v>
      </c>
      <c r="B8" s="423"/>
      <c r="C8" s="423"/>
      <c r="D8" s="424"/>
      <c r="E8" s="277"/>
      <c r="F8" s="274"/>
      <c r="G8" s="274"/>
      <c r="H8" s="274"/>
      <c r="I8" s="274"/>
    </row>
    <row r="9" spans="1:10" x14ac:dyDescent="0.3">
      <c r="A9" s="26" t="s">
        <v>169</v>
      </c>
      <c r="B9"/>
      <c r="C9" s="44">
        <v>3601</v>
      </c>
      <c r="D9" s="240">
        <f>SUM(D10:D11)</f>
        <v>0</v>
      </c>
      <c r="E9" s="277"/>
      <c r="F9" s="274"/>
      <c r="G9" s="274"/>
      <c r="H9" s="274"/>
      <c r="I9" s="274"/>
    </row>
    <row r="10" spans="1:10" x14ac:dyDescent="0.3">
      <c r="A10"/>
      <c r="B10" s="69" t="s">
        <v>170</v>
      </c>
      <c r="C10" s="117">
        <v>3601</v>
      </c>
      <c r="D10" s="263">
        <f>+Belasting!E6+Belasting!E7</f>
        <v>0</v>
      </c>
      <c r="E10" s="278"/>
      <c r="F10" s="274"/>
      <c r="G10" s="279"/>
      <c r="H10" s="274"/>
      <c r="I10" s="274"/>
    </row>
    <row r="11" spans="1:10" x14ac:dyDescent="0.3">
      <c r="A11"/>
      <c r="B11" s="69" t="s">
        <v>171</v>
      </c>
      <c r="C11" s="117">
        <v>3601</v>
      </c>
      <c r="D11" s="264">
        <f>+Belasting!E8</f>
        <v>0</v>
      </c>
      <c r="E11" s="278"/>
      <c r="F11" s="274"/>
      <c r="G11" s="274"/>
      <c r="H11" s="274"/>
      <c r="I11" s="274"/>
    </row>
    <row r="12" spans="1:10" x14ac:dyDescent="0.3">
      <c r="A12" s="69"/>
      <c r="B12"/>
      <c r="C12" s="117"/>
      <c r="D12" s="255"/>
      <c r="E12" s="277"/>
      <c r="F12" s="274"/>
      <c r="G12" s="274"/>
      <c r="H12" s="274"/>
      <c r="I12" s="274"/>
    </row>
    <row r="13" spans="1:10" x14ac:dyDescent="0.3">
      <c r="A13" s="239" t="s">
        <v>172</v>
      </c>
      <c r="B13"/>
      <c r="C13" s="44">
        <v>3605</v>
      </c>
      <c r="D13" s="240">
        <f>SUM(D14)</f>
        <v>0</v>
      </c>
      <c r="E13" s="277"/>
      <c r="F13" s="274"/>
      <c r="G13" s="274"/>
      <c r="H13" s="274"/>
      <c r="I13" s="274"/>
    </row>
    <row r="14" spans="1:10" x14ac:dyDescent="0.3">
      <c r="A14"/>
      <c r="B14" t="s">
        <v>173</v>
      </c>
      <c r="C14" s="117">
        <v>3605</v>
      </c>
      <c r="D14" s="261"/>
      <c r="E14" s="278" t="s">
        <v>323</v>
      </c>
      <c r="F14" s="274"/>
      <c r="G14" s="274"/>
      <c r="H14" s="274"/>
      <c r="I14" s="274"/>
    </row>
    <row r="15" spans="1:10" x14ac:dyDescent="0.3">
      <c r="A15" s="239"/>
      <c r="B15"/>
      <c r="C15" s="44"/>
      <c r="D15" s="255"/>
      <c r="E15" s="277"/>
      <c r="F15" s="274"/>
      <c r="G15" s="274"/>
      <c r="H15" s="274"/>
      <c r="I15" s="274"/>
    </row>
    <row r="16" spans="1:10" x14ac:dyDescent="0.3">
      <c r="A16" s="239" t="s">
        <v>324</v>
      </c>
      <c r="B16"/>
      <c r="C16" s="44">
        <v>3701</v>
      </c>
      <c r="D16" s="255">
        <f>SUM(D17)</f>
        <v>0</v>
      </c>
      <c r="E16" s="277"/>
      <c r="F16" s="274"/>
      <c r="G16" s="274"/>
      <c r="H16" s="274"/>
      <c r="I16" s="274"/>
    </row>
    <row r="17" spans="1:9" x14ac:dyDescent="0.3">
      <c r="A17"/>
      <c r="B17" s="69" t="s">
        <v>174</v>
      </c>
      <c r="C17" s="117">
        <v>3701</v>
      </c>
      <c r="D17" s="261">
        <f>+Belasting!C9</f>
        <v>0</v>
      </c>
      <c r="E17" s="273" t="s">
        <v>325</v>
      </c>
      <c r="F17" s="274"/>
      <c r="G17" s="274"/>
      <c r="H17" s="274"/>
      <c r="I17" s="274"/>
    </row>
    <row r="18" spans="1:9" x14ac:dyDescent="0.3">
      <c r="A18"/>
      <c r="B18" s="69"/>
      <c r="C18" s="117"/>
      <c r="D18" s="257"/>
      <c r="E18" s="278"/>
      <c r="F18" s="274"/>
      <c r="G18" s="274"/>
      <c r="H18" s="274"/>
      <c r="I18" s="274"/>
    </row>
    <row r="19" spans="1:9" ht="27" customHeight="1" x14ac:dyDescent="0.3">
      <c r="A19" s="26" t="s">
        <v>175</v>
      </c>
      <c r="B19" s="69"/>
      <c r="C19" s="44">
        <v>3703</v>
      </c>
      <c r="D19" s="241">
        <f>SUM(D20)</f>
        <v>0</v>
      </c>
      <c r="E19" s="420" t="s">
        <v>326</v>
      </c>
      <c r="F19" s="420"/>
      <c r="G19" s="420"/>
      <c r="H19" s="420"/>
      <c r="I19" s="420"/>
    </row>
    <row r="20" spans="1:9" x14ac:dyDescent="0.3">
      <c r="A20"/>
      <c r="B20" t="s">
        <v>176</v>
      </c>
      <c r="C20" s="117">
        <v>3703</v>
      </c>
      <c r="D20" s="256"/>
      <c r="E20" s="284" t="s">
        <v>327</v>
      </c>
      <c r="F20" s="280"/>
      <c r="G20" s="274"/>
      <c r="H20" s="274"/>
      <c r="I20" s="274"/>
    </row>
    <row r="21" spans="1:9" x14ac:dyDescent="0.3">
      <c r="A21"/>
      <c r="B21"/>
      <c r="C21" s="117"/>
      <c r="D21" s="255"/>
      <c r="E21" s="273"/>
      <c r="F21" s="280"/>
      <c r="G21" s="274"/>
      <c r="H21" s="274"/>
      <c r="I21" s="274"/>
    </row>
    <row r="22" spans="1:9" x14ac:dyDescent="0.3">
      <c r="A22" s="26" t="s">
        <v>177</v>
      </c>
      <c r="B22"/>
      <c r="C22" s="44">
        <v>3713</v>
      </c>
      <c r="D22" s="240">
        <f>SUM(D23)</f>
        <v>0</v>
      </c>
      <c r="E22" s="273"/>
      <c r="F22" s="280"/>
      <c r="G22" s="274"/>
      <c r="H22" s="274"/>
      <c r="I22" s="274"/>
    </row>
    <row r="23" spans="1:9" x14ac:dyDescent="0.3">
      <c r="A23"/>
      <c r="B23" t="s">
        <v>178</v>
      </c>
      <c r="C23" s="117">
        <v>3713</v>
      </c>
      <c r="D23" s="261">
        <f>+Belasting!E10</f>
        <v>0</v>
      </c>
      <c r="E23" s="273"/>
      <c r="F23" s="280"/>
      <c r="G23" s="274"/>
      <c r="H23" s="274"/>
      <c r="I23" s="274"/>
    </row>
    <row r="24" spans="1:9" x14ac:dyDescent="0.3">
      <c r="A24"/>
      <c r="B24"/>
      <c r="C24" s="117"/>
      <c r="D24" s="255"/>
      <c r="E24" s="273"/>
      <c r="F24" s="280"/>
      <c r="G24" s="274"/>
      <c r="H24" s="274"/>
      <c r="I24" s="274"/>
    </row>
    <row r="25" spans="1:9" x14ac:dyDescent="0.3">
      <c r="A25" s="26" t="s">
        <v>179</v>
      </c>
      <c r="B25"/>
      <c r="C25" s="44">
        <v>3801</v>
      </c>
      <c r="D25" s="240">
        <f>SUM(D26:D30)</f>
        <v>0</v>
      </c>
      <c r="E25" s="281" t="s">
        <v>180</v>
      </c>
      <c r="F25" s="280"/>
      <c r="G25" s="274"/>
      <c r="H25" s="274"/>
      <c r="I25" s="274"/>
    </row>
    <row r="26" spans="1:9" x14ac:dyDescent="0.3">
      <c r="A26" s="26"/>
      <c r="B26" t="s">
        <v>304</v>
      </c>
      <c r="C26" s="117">
        <v>3801</v>
      </c>
      <c r="D26" s="263">
        <f>+Belasting!E19</f>
        <v>0</v>
      </c>
      <c r="E26" s="281"/>
      <c r="F26" s="280"/>
      <c r="G26" s="274"/>
      <c r="H26" s="274"/>
      <c r="I26" s="274"/>
    </row>
    <row r="27" spans="1:9" x14ac:dyDescent="0.3">
      <c r="A27" s="26"/>
      <c r="B27" t="s">
        <v>181</v>
      </c>
      <c r="C27" s="117">
        <v>3801</v>
      </c>
      <c r="D27" s="265">
        <f>+Belasting!E21</f>
        <v>0</v>
      </c>
      <c r="E27" s="281"/>
      <c r="F27" s="280"/>
      <c r="G27" s="274"/>
      <c r="H27" s="274"/>
      <c r="I27" s="274"/>
    </row>
    <row r="28" spans="1:9" x14ac:dyDescent="0.3">
      <c r="A28"/>
      <c r="B28" t="s">
        <v>182</v>
      </c>
      <c r="C28" s="117">
        <v>3801</v>
      </c>
      <c r="D28" s="266">
        <f>+Belasting!E22</f>
        <v>0</v>
      </c>
      <c r="E28" s="273"/>
      <c r="F28" s="280"/>
      <c r="G28" s="274"/>
      <c r="H28" s="274"/>
      <c r="I28" s="274"/>
    </row>
    <row r="29" spans="1:9" x14ac:dyDescent="0.3">
      <c r="A29"/>
      <c r="B29" s="79" t="s">
        <v>328</v>
      </c>
      <c r="C29" s="117">
        <v>3801</v>
      </c>
      <c r="D29" s="266">
        <f>+Belasting!E23</f>
        <v>0</v>
      </c>
      <c r="E29" s="273" t="s">
        <v>284</v>
      </c>
      <c r="F29" s="280"/>
      <c r="G29" s="274"/>
      <c r="H29" s="274"/>
      <c r="I29" s="274"/>
    </row>
    <row r="30" spans="1:9" x14ac:dyDescent="0.3">
      <c r="A30"/>
      <c r="B30" s="5" t="s">
        <v>329</v>
      </c>
      <c r="C30" s="248">
        <v>3801</v>
      </c>
      <c r="D30" s="264"/>
      <c r="E30" s="281"/>
      <c r="F30" s="280"/>
      <c r="G30" s="274"/>
      <c r="H30" s="274"/>
      <c r="I30" s="274"/>
    </row>
    <row r="31" spans="1:9" x14ac:dyDescent="0.3">
      <c r="A31"/>
      <c r="B31"/>
      <c r="C31" s="117"/>
      <c r="D31" s="257"/>
      <c r="E31" s="282"/>
      <c r="F31" s="280"/>
      <c r="G31" s="274"/>
      <c r="H31" s="274"/>
      <c r="I31" s="274"/>
    </row>
    <row r="32" spans="1:9" x14ac:dyDescent="0.3">
      <c r="A32" s="26" t="s">
        <v>203</v>
      </c>
      <c r="B32"/>
      <c r="C32" s="44">
        <v>3802</v>
      </c>
      <c r="D32" s="257">
        <f>SUM(D33)</f>
        <v>0</v>
      </c>
      <c r="E32" s="282" t="s">
        <v>180</v>
      </c>
      <c r="F32" s="280"/>
      <c r="G32" s="274"/>
      <c r="H32" s="274"/>
      <c r="I32" s="274"/>
    </row>
    <row r="33" spans="1:9" x14ac:dyDescent="0.3">
      <c r="A33"/>
      <c r="B33" t="s">
        <v>206</v>
      </c>
      <c r="C33" s="117"/>
      <c r="D33" s="261">
        <f>+Belasting!E14</f>
        <v>0</v>
      </c>
      <c r="E33" s="282"/>
      <c r="F33" s="280"/>
      <c r="G33" s="274"/>
      <c r="H33" s="274"/>
      <c r="I33" s="274"/>
    </row>
    <row r="34" spans="1:9" x14ac:dyDescent="0.3">
      <c r="A34"/>
      <c r="B34"/>
      <c r="C34" s="117"/>
      <c r="D34" s="257"/>
      <c r="E34" s="281"/>
      <c r="F34" s="280"/>
      <c r="G34" s="274"/>
      <c r="H34" s="274"/>
      <c r="I34" s="274"/>
    </row>
    <row r="35" spans="1:9" x14ac:dyDescent="0.3">
      <c r="A35" s="26" t="s">
        <v>204</v>
      </c>
      <c r="B35"/>
      <c r="C35" s="44">
        <v>3805</v>
      </c>
      <c r="D35" s="257">
        <f>SUM(D36)</f>
        <v>0</v>
      </c>
      <c r="E35" s="282" t="s">
        <v>180</v>
      </c>
      <c r="F35" s="280"/>
      <c r="G35" s="274"/>
      <c r="H35" s="274"/>
      <c r="I35" s="274"/>
    </row>
    <row r="36" spans="1:9" x14ac:dyDescent="0.3">
      <c r="A36"/>
      <c r="B36" t="s">
        <v>205</v>
      </c>
      <c r="C36" s="117"/>
      <c r="D36" s="261">
        <f>+Belasting!E13</f>
        <v>0</v>
      </c>
      <c r="E36" s="282"/>
      <c r="F36" s="280"/>
      <c r="G36" s="274"/>
      <c r="H36" s="274"/>
      <c r="I36" s="274"/>
    </row>
    <row r="37" spans="1:9" x14ac:dyDescent="0.3">
      <c r="A37"/>
      <c r="B37"/>
      <c r="C37" s="117"/>
      <c r="D37" s="255"/>
      <c r="E37" s="282"/>
      <c r="F37" s="280"/>
      <c r="G37" s="274"/>
      <c r="H37" s="274"/>
      <c r="I37" s="274"/>
    </row>
    <row r="38" spans="1:9" x14ac:dyDescent="0.3">
      <c r="A38" s="26" t="s">
        <v>183</v>
      </c>
      <c r="B38"/>
      <c r="C38" s="44">
        <v>3808</v>
      </c>
      <c r="D38" s="240">
        <f>SUM(D39:D39)</f>
        <v>0</v>
      </c>
      <c r="E38" s="281" t="s">
        <v>180</v>
      </c>
      <c r="F38" s="280"/>
      <c r="G38" s="274"/>
      <c r="H38" s="274"/>
      <c r="I38" s="274"/>
    </row>
    <row r="39" spans="1:9" x14ac:dyDescent="0.3">
      <c r="A39"/>
      <c r="B39"/>
      <c r="C39" s="117">
        <v>3808</v>
      </c>
      <c r="D39" s="256"/>
      <c r="E39" s="273"/>
      <c r="F39" s="280"/>
      <c r="G39" s="274"/>
      <c r="H39" s="274"/>
      <c r="I39" s="274"/>
    </row>
    <row r="40" spans="1:9" x14ac:dyDescent="0.3">
      <c r="A40"/>
      <c r="B40" s="69"/>
      <c r="C40" s="117"/>
      <c r="D40" s="255"/>
      <c r="E40" s="281"/>
      <c r="F40" s="280"/>
      <c r="G40" s="274"/>
      <c r="H40" s="274"/>
      <c r="I40" s="274"/>
    </row>
    <row r="41" spans="1:9" x14ac:dyDescent="0.3">
      <c r="A41" s="26" t="s">
        <v>184</v>
      </c>
      <c r="B41" s="69"/>
      <c r="C41" s="44">
        <v>3810</v>
      </c>
      <c r="D41" s="240">
        <f>SUM(D42)</f>
        <v>0</v>
      </c>
      <c r="E41" s="282" t="s">
        <v>180</v>
      </c>
      <c r="F41" s="280"/>
      <c r="G41" s="274"/>
      <c r="H41" s="274"/>
      <c r="I41" s="274"/>
    </row>
    <row r="42" spans="1:9" x14ac:dyDescent="0.3">
      <c r="A42"/>
      <c r="B42" s="69" t="s">
        <v>185</v>
      </c>
      <c r="C42" s="117">
        <v>3810</v>
      </c>
      <c r="D42" s="261">
        <f>+Belasting!E20</f>
        <v>0</v>
      </c>
      <c r="E42" s="273" t="s">
        <v>330</v>
      </c>
      <c r="F42" s="280"/>
      <c r="G42" s="274"/>
      <c r="H42" s="274"/>
      <c r="I42" s="274"/>
    </row>
    <row r="43" spans="1:9" x14ac:dyDescent="0.3">
      <c r="A43"/>
      <c r="B43" s="69"/>
      <c r="C43" s="117"/>
      <c r="D43" s="257"/>
      <c r="E43" s="273"/>
      <c r="F43" s="280"/>
      <c r="G43" s="274"/>
      <c r="H43" s="274"/>
      <c r="I43" s="274"/>
    </row>
    <row r="44" spans="1:9" ht="27" customHeight="1" x14ac:dyDescent="0.3">
      <c r="A44" s="421" t="s">
        <v>285</v>
      </c>
      <c r="B44" s="421"/>
      <c r="C44" s="44">
        <v>3817</v>
      </c>
      <c r="D44" s="240">
        <f>SUM(D45)</f>
        <v>0</v>
      </c>
      <c r="E44" s="281" t="s">
        <v>180</v>
      </c>
      <c r="F44" s="280"/>
      <c r="G44" s="274"/>
      <c r="H44" s="274"/>
      <c r="I44" s="274"/>
    </row>
    <row r="45" spans="1:9" x14ac:dyDescent="0.3">
      <c r="A45"/>
      <c r="B45" s="69" t="s">
        <v>331</v>
      </c>
      <c r="C45" s="117">
        <v>3817</v>
      </c>
      <c r="D45" s="261">
        <f>+Belasting!E17</f>
        <v>0</v>
      </c>
      <c r="E45" s="273"/>
      <c r="F45" s="280"/>
      <c r="G45" s="274"/>
      <c r="H45" s="274"/>
      <c r="I45" s="274"/>
    </row>
    <row r="46" spans="1:9" x14ac:dyDescent="0.3">
      <c r="A46"/>
      <c r="B46" s="69"/>
      <c r="C46" s="117"/>
      <c r="D46" s="257"/>
      <c r="E46" s="273"/>
      <c r="F46" s="280"/>
      <c r="G46" s="274"/>
      <c r="H46" s="274"/>
      <c r="I46" s="274"/>
    </row>
    <row r="47" spans="1:9" ht="27" customHeight="1" x14ac:dyDescent="0.3">
      <c r="A47" s="421" t="s">
        <v>286</v>
      </c>
      <c r="B47" s="421"/>
      <c r="C47" s="44">
        <v>3825</v>
      </c>
      <c r="D47" s="240">
        <f>SUM(D48)</f>
        <v>0</v>
      </c>
      <c r="E47" s="281" t="s">
        <v>180</v>
      </c>
      <c r="F47" s="280"/>
      <c r="G47" s="274"/>
      <c r="H47" s="274"/>
      <c r="I47" s="274"/>
    </row>
    <row r="48" spans="1:9" x14ac:dyDescent="0.3">
      <c r="A48"/>
      <c r="B48" s="69" t="s">
        <v>332</v>
      </c>
      <c r="C48" s="117">
        <v>3825</v>
      </c>
      <c r="D48" s="261">
        <f>+Belasting!E18</f>
        <v>0</v>
      </c>
      <c r="E48" s="273"/>
      <c r="F48" s="280"/>
      <c r="G48" s="274"/>
      <c r="H48" s="274"/>
      <c r="I48" s="274"/>
    </row>
    <row r="49" spans="1:9" x14ac:dyDescent="0.3">
      <c r="A49"/>
      <c r="B49" s="69"/>
      <c r="C49" s="117"/>
      <c r="D49" s="257"/>
      <c r="E49" s="273"/>
      <c r="F49" s="280"/>
      <c r="G49" s="274"/>
      <c r="H49" s="274"/>
      <c r="I49" s="274"/>
    </row>
    <row r="50" spans="1:9" ht="27" customHeight="1" x14ac:dyDescent="0.3">
      <c r="A50" s="421" t="s">
        <v>287</v>
      </c>
      <c r="B50" s="421"/>
      <c r="C50" s="44">
        <v>3828</v>
      </c>
      <c r="D50" s="240">
        <f>SUM(D51)</f>
        <v>0</v>
      </c>
      <c r="E50" s="281" t="s">
        <v>180</v>
      </c>
      <c r="F50" s="280"/>
      <c r="G50" s="274"/>
      <c r="H50" s="274"/>
      <c r="I50" s="274"/>
    </row>
    <row r="51" spans="1:9" x14ac:dyDescent="0.3">
      <c r="A51"/>
      <c r="B51" s="69" t="s">
        <v>288</v>
      </c>
      <c r="C51" s="117">
        <v>3828</v>
      </c>
      <c r="D51" s="261"/>
      <c r="E51" s="273"/>
      <c r="F51" s="280"/>
      <c r="G51" s="274"/>
      <c r="H51" s="274"/>
      <c r="I51" s="274"/>
    </row>
    <row r="52" spans="1:9" x14ac:dyDescent="0.3">
      <c r="A52"/>
      <c r="B52" s="69"/>
      <c r="C52" s="117"/>
      <c r="D52" s="257"/>
      <c r="E52" s="273"/>
      <c r="F52" s="280"/>
      <c r="G52" s="274"/>
      <c r="H52" s="274"/>
      <c r="I52" s="274"/>
    </row>
    <row r="53" spans="1:9" x14ac:dyDescent="0.3">
      <c r="A53"/>
      <c r="B53" s="69"/>
      <c r="C53" s="117"/>
      <c r="D53" s="257"/>
      <c r="E53" s="273"/>
      <c r="F53" s="280"/>
      <c r="G53" s="274"/>
      <c r="H53" s="274"/>
      <c r="I53" s="274"/>
    </row>
    <row r="54" spans="1:9" ht="15" thickBot="1" x14ac:dyDescent="0.35">
      <c r="A54"/>
      <c r="B54" s="84" t="s">
        <v>186</v>
      </c>
      <c r="C54" s="117" t="s">
        <v>23</v>
      </c>
      <c r="D54" s="249">
        <f>+D9+D13+D16+D19+D22+D25+D32+D35+D38+D41+D44+D47+D50</f>
        <v>0</v>
      </c>
      <c r="E54" s="273"/>
      <c r="F54" s="280"/>
      <c r="G54" s="274"/>
      <c r="H54" s="274"/>
      <c r="I54" s="274"/>
    </row>
    <row r="55" spans="1:9" ht="15" thickTop="1" x14ac:dyDescent="0.3">
      <c r="A55"/>
      <c r="B55" s="69"/>
      <c r="C55" s="117"/>
      <c r="D55" s="257"/>
      <c r="E55" s="273"/>
      <c r="F55" s="280"/>
      <c r="G55" s="274"/>
      <c r="H55" s="274"/>
      <c r="I55" s="274"/>
    </row>
    <row r="56" spans="1:9" x14ac:dyDescent="0.3">
      <c r="A56" s="26" t="s">
        <v>187</v>
      </c>
      <c r="B56" s="69"/>
      <c r="C56" s="44">
        <v>3696</v>
      </c>
      <c r="D56" s="241">
        <f>+D19</f>
        <v>0</v>
      </c>
      <c r="E56" s="273"/>
      <c r="F56" s="280"/>
      <c r="G56" s="274"/>
      <c r="H56" s="274"/>
      <c r="I56" s="274"/>
    </row>
    <row r="57" spans="1:9" x14ac:dyDescent="0.3">
      <c r="A57" s="26" t="s">
        <v>333</v>
      </c>
      <c r="B57" s="69"/>
      <c r="C57" s="44">
        <v>3699</v>
      </c>
      <c r="D57" s="241">
        <f>+D54-D56</f>
        <v>0</v>
      </c>
      <c r="E57" s="273"/>
      <c r="F57" s="280"/>
      <c r="G57" s="274"/>
      <c r="H57" s="274"/>
      <c r="I57" s="274"/>
    </row>
    <row r="58" spans="1:9" ht="15" thickBot="1" x14ac:dyDescent="0.35">
      <c r="A58"/>
      <c r="B58" s="69"/>
      <c r="C58" s="117" t="s">
        <v>23</v>
      </c>
      <c r="D58" s="258">
        <f>SUM(D56:D57)</f>
        <v>0</v>
      </c>
      <c r="E58" s="273"/>
      <c r="F58" s="280"/>
      <c r="G58" s="274"/>
      <c r="H58" s="274"/>
      <c r="I58" s="274"/>
    </row>
    <row r="59" spans="1:9" ht="15" thickTop="1" x14ac:dyDescent="0.3">
      <c r="A59"/>
      <c r="B59" s="69"/>
      <c r="C59" s="117"/>
      <c r="D59" s="257"/>
      <c r="E59" s="273"/>
      <c r="F59" s="280"/>
      <c r="G59" s="274"/>
      <c r="H59" s="274"/>
      <c r="I59" s="274"/>
    </row>
    <row r="60" spans="1:9" x14ac:dyDescent="0.3">
      <c r="A60"/>
      <c r="B60" s="69"/>
      <c r="C60" s="117"/>
      <c r="D60" s="257"/>
      <c r="E60" s="273"/>
      <c r="F60" s="280"/>
      <c r="G60" s="274"/>
      <c r="H60" s="274"/>
      <c r="I60" s="274"/>
    </row>
    <row r="61" spans="1:9" x14ac:dyDescent="0.3">
      <c r="A61"/>
      <c r="B61" s="69"/>
      <c r="C61" s="117"/>
      <c r="D61" s="255"/>
      <c r="E61" s="281"/>
      <c r="F61" s="280"/>
      <c r="G61" s="274"/>
      <c r="H61" s="274"/>
      <c r="I61" s="274"/>
    </row>
    <row r="62" spans="1:9" x14ac:dyDescent="0.3">
      <c r="A62" s="422" t="s">
        <v>188</v>
      </c>
      <c r="B62" s="423"/>
      <c r="C62" s="423"/>
      <c r="D62" s="424"/>
      <c r="E62" s="281"/>
      <c r="F62" s="280"/>
      <c r="G62" s="274"/>
      <c r="H62" s="274"/>
      <c r="I62" s="274"/>
    </row>
    <row r="63" spans="1:9" ht="28.5" customHeight="1" x14ac:dyDescent="0.3">
      <c r="A63" s="425" t="s">
        <v>289</v>
      </c>
      <c r="B63" s="425"/>
      <c r="C63" s="44">
        <v>4001</v>
      </c>
      <c r="D63" s="250">
        <f>SUM(D64:D65)</f>
        <v>0</v>
      </c>
      <c r="E63" s="281"/>
      <c r="F63" s="280"/>
      <c r="G63" s="274"/>
      <c r="H63" s="274"/>
      <c r="I63" s="274"/>
    </row>
    <row r="64" spans="1:9" x14ac:dyDescent="0.3">
      <c r="A64" s="43"/>
      <c r="B64" s="43" t="s">
        <v>290</v>
      </c>
      <c r="C64" s="117">
        <v>4001</v>
      </c>
      <c r="D64" s="259">
        <f>+D45</f>
        <v>0</v>
      </c>
      <c r="E64" s="273"/>
      <c r="F64" s="280"/>
      <c r="G64" s="274"/>
      <c r="H64" s="274"/>
      <c r="I64" s="274"/>
    </row>
    <row r="65" spans="1:9" x14ac:dyDescent="0.3">
      <c r="A65" s="43"/>
      <c r="B65" s="43" t="s">
        <v>291</v>
      </c>
      <c r="C65" s="117">
        <v>4001</v>
      </c>
      <c r="D65" s="267">
        <f>+Belasting!C27+Belasting!C28</f>
        <v>0</v>
      </c>
      <c r="E65" s="273"/>
      <c r="F65" s="280"/>
      <c r="G65" s="274"/>
      <c r="H65" s="274"/>
      <c r="I65" s="274"/>
    </row>
    <row r="66" spans="1:9" x14ac:dyDescent="0.3">
      <c r="A66" s="43"/>
      <c r="B66" s="43"/>
      <c r="C66" s="117"/>
      <c r="D66" s="260"/>
      <c r="E66" s="281"/>
      <c r="F66" s="280"/>
      <c r="G66" s="274"/>
      <c r="H66" s="274"/>
      <c r="I66" s="274"/>
    </row>
    <row r="67" spans="1:9" ht="28.5" customHeight="1" x14ac:dyDescent="0.3">
      <c r="A67" s="421" t="s">
        <v>292</v>
      </c>
      <c r="B67" s="421"/>
      <c r="C67" s="44">
        <v>4003</v>
      </c>
      <c r="D67" s="250">
        <f>SUM(D68:D69)</f>
        <v>0</v>
      </c>
      <c r="E67" s="281"/>
      <c r="F67" s="280"/>
      <c r="G67" s="274"/>
      <c r="H67" s="274"/>
      <c r="I67" s="274"/>
    </row>
    <row r="68" spans="1:9" x14ac:dyDescent="0.3">
      <c r="A68" s="43"/>
      <c r="B68" s="43" t="s">
        <v>293</v>
      </c>
      <c r="C68" s="117">
        <v>4003</v>
      </c>
      <c r="D68" s="259">
        <f>+D48</f>
        <v>0</v>
      </c>
      <c r="E68" s="273"/>
      <c r="F68" s="280"/>
      <c r="G68" s="274"/>
      <c r="H68" s="274"/>
      <c r="I68" s="274"/>
    </row>
    <row r="69" spans="1:9" x14ac:dyDescent="0.3">
      <c r="A69" s="43"/>
      <c r="B69" s="43" t="s">
        <v>291</v>
      </c>
      <c r="C69" s="117">
        <v>4003</v>
      </c>
      <c r="D69" s="267">
        <f>+Belasting!C30+Belasting!C31</f>
        <v>0</v>
      </c>
      <c r="E69" s="273"/>
      <c r="F69" s="280"/>
      <c r="G69" s="274"/>
      <c r="H69" s="274"/>
      <c r="I69" s="274"/>
    </row>
    <row r="70" spans="1:9" x14ac:dyDescent="0.3">
      <c r="A70" s="43"/>
      <c r="B70" s="43"/>
      <c r="C70" s="117"/>
      <c r="D70" s="260"/>
      <c r="E70" s="281"/>
      <c r="F70" s="280"/>
      <c r="G70" s="274"/>
      <c r="H70" s="274"/>
      <c r="I70" s="274"/>
    </row>
    <row r="71" spans="1:9" ht="28.5" customHeight="1" x14ac:dyDescent="0.3">
      <c r="A71" s="421" t="s">
        <v>294</v>
      </c>
      <c r="B71" s="421"/>
      <c r="C71" s="44">
        <v>4006</v>
      </c>
      <c r="D71" s="250">
        <f>SUM(D72:D73)</f>
        <v>0</v>
      </c>
      <c r="E71" s="281"/>
      <c r="F71" s="280"/>
      <c r="G71" s="274"/>
      <c r="H71" s="274"/>
      <c r="I71" s="274"/>
    </row>
    <row r="72" spans="1:9" x14ac:dyDescent="0.3">
      <c r="A72" s="43"/>
      <c r="B72" s="43" t="s">
        <v>334</v>
      </c>
      <c r="C72" s="117">
        <v>4006</v>
      </c>
      <c r="D72" s="259">
        <f>+D51</f>
        <v>0</v>
      </c>
      <c r="E72" s="273"/>
      <c r="F72" s="280"/>
      <c r="G72" s="274"/>
      <c r="H72" s="274"/>
      <c r="I72" s="274"/>
    </row>
    <row r="73" spans="1:9" x14ac:dyDescent="0.3">
      <c r="A73" s="43"/>
      <c r="B73" s="43" t="s">
        <v>291</v>
      </c>
      <c r="C73" s="117">
        <v>4006</v>
      </c>
      <c r="D73" s="267">
        <f>+Belasting!C33</f>
        <v>0</v>
      </c>
      <c r="E73" s="273"/>
      <c r="F73" s="280"/>
      <c r="G73" s="274"/>
      <c r="H73" s="274"/>
      <c r="I73" s="274"/>
    </row>
    <row r="74" spans="1:9" x14ac:dyDescent="0.3">
      <c r="A74" s="43"/>
      <c r="B74" s="43"/>
      <c r="C74" s="117"/>
      <c r="D74" s="260"/>
      <c r="E74" s="281"/>
      <c r="F74" s="280"/>
      <c r="G74" s="274"/>
      <c r="H74" s="274"/>
      <c r="I74" s="274"/>
    </row>
    <row r="75" spans="1:9" x14ac:dyDescent="0.3">
      <c r="A75" s="43"/>
      <c r="B75" s="43"/>
      <c r="C75" s="117"/>
      <c r="D75" s="260"/>
      <c r="E75" s="281"/>
      <c r="F75" s="280"/>
      <c r="G75" s="274"/>
      <c r="H75" s="274"/>
      <c r="I75" s="274"/>
    </row>
    <row r="76" spans="1:9" x14ac:dyDescent="0.3">
      <c r="A76" s="49" t="s">
        <v>189</v>
      </c>
      <c r="B76" s="43"/>
      <c r="C76" s="44">
        <v>4005</v>
      </c>
      <c r="D76" s="247">
        <f>SUM(D77:D78)</f>
        <v>0</v>
      </c>
      <c r="E76" s="281"/>
      <c r="F76" s="280"/>
      <c r="G76" s="274"/>
      <c r="H76" s="274"/>
      <c r="I76" s="274"/>
    </row>
    <row r="77" spans="1:9" x14ac:dyDescent="0.3">
      <c r="A77" s="49"/>
      <c r="B77" s="43" t="s">
        <v>190</v>
      </c>
      <c r="C77" s="117">
        <v>4005</v>
      </c>
      <c r="D77" s="259">
        <f>+D42</f>
        <v>0</v>
      </c>
      <c r="E77" s="281"/>
      <c r="F77" s="280"/>
      <c r="G77" s="274"/>
      <c r="H77" s="274"/>
      <c r="I77" s="274"/>
    </row>
    <row r="78" spans="1:9" x14ac:dyDescent="0.3">
      <c r="A78"/>
      <c r="B78" t="s">
        <v>191</v>
      </c>
      <c r="C78" s="117">
        <v>4005</v>
      </c>
      <c r="D78" s="264">
        <f>+Syfers!D50</f>
        <v>0</v>
      </c>
      <c r="E78" s="273"/>
      <c r="F78" s="280"/>
      <c r="G78" s="274"/>
      <c r="H78" s="274"/>
      <c r="I78" s="274"/>
    </row>
    <row r="79" spans="1:9" x14ac:dyDescent="0.3">
      <c r="A79"/>
      <c r="B79"/>
      <c r="C79" s="117"/>
      <c r="D79" s="257"/>
      <c r="E79" s="273"/>
      <c r="F79" s="280"/>
      <c r="G79" s="274"/>
      <c r="H79" s="274"/>
      <c r="I79" s="274"/>
    </row>
    <row r="80" spans="1:9" x14ac:dyDescent="0.3">
      <c r="A80" s="26" t="s">
        <v>295</v>
      </c>
      <c r="B80"/>
      <c r="C80" s="44">
        <v>4472</v>
      </c>
      <c r="D80" s="241">
        <f>SUM(D81)</f>
        <v>0</v>
      </c>
      <c r="E80" s="273"/>
      <c r="F80" s="280"/>
      <c r="G80" s="274"/>
      <c r="H80" s="274"/>
      <c r="I80" s="274"/>
    </row>
    <row r="81" spans="1:9" x14ac:dyDescent="0.3">
      <c r="A81"/>
      <c r="B81" t="s">
        <v>296</v>
      </c>
      <c r="C81" s="117">
        <v>4472</v>
      </c>
      <c r="D81" s="261">
        <f>+D45</f>
        <v>0</v>
      </c>
      <c r="E81" s="273"/>
      <c r="F81" s="280"/>
      <c r="G81" s="274"/>
      <c r="H81" s="274"/>
      <c r="I81" s="274"/>
    </row>
    <row r="82" spans="1:9" x14ac:dyDescent="0.3">
      <c r="A82"/>
      <c r="B82"/>
      <c r="C82" s="117"/>
      <c r="D82" s="257"/>
      <c r="E82" s="273"/>
      <c r="F82" s="280"/>
      <c r="G82" s="274"/>
      <c r="H82" s="274"/>
      <c r="I82" s="274"/>
    </row>
    <row r="83" spans="1:9" x14ac:dyDescent="0.3">
      <c r="A83" s="26" t="s">
        <v>297</v>
      </c>
      <c r="B83"/>
      <c r="C83" s="44">
        <v>4473</v>
      </c>
      <c r="D83" s="241">
        <f>SUM(D84)</f>
        <v>0</v>
      </c>
      <c r="E83" s="273"/>
      <c r="F83" s="280"/>
      <c r="G83" s="274"/>
      <c r="H83" s="274"/>
      <c r="I83" s="274"/>
    </row>
    <row r="84" spans="1:9" x14ac:dyDescent="0.3">
      <c r="A84"/>
      <c r="B84" t="s">
        <v>298</v>
      </c>
      <c r="C84" s="117">
        <v>4473</v>
      </c>
      <c r="D84" s="261">
        <f>+D48</f>
        <v>0</v>
      </c>
      <c r="E84" s="273"/>
      <c r="F84" s="280"/>
      <c r="G84" s="274"/>
      <c r="H84" s="274"/>
      <c r="I84" s="274"/>
    </row>
    <row r="85" spans="1:9" x14ac:dyDescent="0.3">
      <c r="A85"/>
      <c r="B85"/>
      <c r="C85" s="117"/>
      <c r="D85" s="257"/>
      <c r="E85" s="273"/>
      <c r="F85" s="280"/>
      <c r="G85" s="274"/>
      <c r="H85" s="274"/>
      <c r="I85" s="274"/>
    </row>
    <row r="86" spans="1:9" x14ac:dyDescent="0.3">
      <c r="A86" s="26" t="s">
        <v>299</v>
      </c>
      <c r="B86"/>
      <c r="C86" s="44">
        <v>4475</v>
      </c>
      <c r="D86" s="241">
        <f>SUM(D87)</f>
        <v>0</v>
      </c>
      <c r="E86" s="273"/>
      <c r="F86" s="280"/>
      <c r="G86" s="274"/>
      <c r="H86" s="274"/>
      <c r="I86" s="274"/>
    </row>
    <row r="87" spans="1:9" x14ac:dyDescent="0.3">
      <c r="A87"/>
      <c r="B87" t="s">
        <v>300</v>
      </c>
      <c r="C87" s="117">
        <v>4475</v>
      </c>
      <c r="D87" s="261">
        <f>+D51</f>
        <v>0</v>
      </c>
      <c r="E87" s="273"/>
      <c r="F87" s="280"/>
      <c r="G87" s="274"/>
      <c r="H87" s="274"/>
      <c r="I87" s="274"/>
    </row>
    <row r="88" spans="1:9" x14ac:dyDescent="0.3">
      <c r="A88"/>
      <c r="B88"/>
      <c r="C88" s="117"/>
      <c r="D88" s="257"/>
      <c r="E88" s="273"/>
      <c r="F88" s="280"/>
      <c r="G88" s="274"/>
      <c r="H88" s="274"/>
      <c r="I88" s="274"/>
    </row>
    <row r="89" spans="1:9" x14ac:dyDescent="0.3">
      <c r="A89" s="26" t="s">
        <v>192</v>
      </c>
      <c r="B89"/>
      <c r="C89" s="44">
        <v>4474</v>
      </c>
      <c r="D89" s="241">
        <f>SUM(D90)</f>
        <v>0</v>
      </c>
      <c r="E89" s="273"/>
      <c r="F89" s="280"/>
      <c r="G89" s="274"/>
      <c r="H89" s="274"/>
      <c r="I89" s="274"/>
    </row>
    <row r="90" spans="1:9" x14ac:dyDescent="0.3">
      <c r="A90"/>
      <c r="B90" t="s">
        <v>193</v>
      </c>
      <c r="C90" s="117">
        <v>4474</v>
      </c>
      <c r="D90" s="261">
        <f>+D77</f>
        <v>0</v>
      </c>
      <c r="E90" s="273"/>
      <c r="F90" s="280"/>
      <c r="G90" s="274"/>
      <c r="H90" s="274"/>
      <c r="I90" s="274"/>
    </row>
    <row r="91" spans="1:9" x14ac:dyDescent="0.3">
      <c r="A91"/>
      <c r="B91"/>
      <c r="C91" s="117"/>
      <c r="D91" s="257"/>
      <c r="E91" s="273"/>
      <c r="F91" s="280"/>
      <c r="G91" s="274"/>
      <c r="H91" s="274"/>
      <c r="I91" s="274"/>
    </row>
    <row r="92" spans="1:9" x14ac:dyDescent="0.3">
      <c r="A92"/>
      <c r="B92"/>
      <c r="C92" s="117"/>
      <c r="D92" s="257"/>
      <c r="E92" s="273"/>
      <c r="F92" s="280"/>
      <c r="G92" s="274"/>
      <c r="H92" s="274"/>
      <c r="I92" s="274"/>
    </row>
    <row r="93" spans="1:9" ht="15" thickBot="1" x14ac:dyDescent="0.35">
      <c r="A93" s="113" t="s">
        <v>194</v>
      </c>
      <c r="B93" s="84"/>
      <c r="C93" s="44">
        <v>4497</v>
      </c>
      <c r="D93" s="249">
        <f>+D63+D67+D71+D76+D80+D83+D86+D89</f>
        <v>0</v>
      </c>
      <c r="E93" s="273"/>
      <c r="F93" s="280"/>
      <c r="G93" s="274"/>
      <c r="H93" s="274"/>
      <c r="I93" s="274"/>
    </row>
    <row r="94" spans="1:9" ht="15" thickTop="1" x14ac:dyDescent="0.3">
      <c r="A94" s="43"/>
      <c r="B94" s="43"/>
      <c r="C94" s="117"/>
      <c r="D94" s="260"/>
      <c r="E94" s="281"/>
      <c r="F94" s="280"/>
      <c r="G94" s="274"/>
      <c r="H94" s="274"/>
      <c r="I94" s="274"/>
    </row>
    <row r="95" spans="1:9" x14ac:dyDescent="0.3">
      <c r="A95" s="26" t="s">
        <v>335</v>
      </c>
      <c r="B95"/>
      <c r="C95" s="44">
        <v>4582</v>
      </c>
      <c r="D95" s="241">
        <f>+D96</f>
        <v>0</v>
      </c>
      <c r="E95" s="281"/>
      <c r="F95" s="280"/>
      <c r="G95" s="274"/>
      <c r="H95" s="274"/>
      <c r="I95" s="274"/>
    </row>
    <row r="96" spans="1:9" x14ac:dyDescent="0.3">
      <c r="A96"/>
      <c r="B96" t="s">
        <v>336</v>
      </c>
      <c r="C96" s="117">
        <v>4582</v>
      </c>
      <c r="D96" s="269">
        <f>+Belasting!E9</f>
        <v>0</v>
      </c>
      <c r="E96" s="281"/>
      <c r="F96" s="280"/>
      <c r="G96" s="274"/>
      <c r="H96" s="274"/>
      <c r="I96" s="274"/>
    </row>
    <row r="97" spans="1:9" x14ac:dyDescent="0.3">
      <c r="A97" s="43"/>
      <c r="B97" s="271" t="s">
        <v>337</v>
      </c>
      <c r="C97" s="117"/>
      <c r="D97" s="270"/>
      <c r="E97" s="281"/>
      <c r="F97" s="280"/>
      <c r="G97" s="274"/>
      <c r="H97" s="274"/>
      <c r="I97" s="274"/>
    </row>
    <row r="98" spans="1:9" x14ac:dyDescent="0.3">
      <c r="A98" s="272" t="s">
        <v>338</v>
      </c>
      <c r="B98" s="271"/>
      <c r="C98" s="117"/>
      <c r="D98" s="270"/>
      <c r="E98" s="281"/>
      <c r="F98" s="280"/>
      <c r="G98" s="274"/>
      <c r="H98" s="274"/>
      <c r="I98" s="274"/>
    </row>
    <row r="99" spans="1:9" x14ac:dyDescent="0.3">
      <c r="A99" s="43"/>
      <c r="B99" s="43"/>
      <c r="C99" s="117"/>
      <c r="D99" s="260"/>
      <c r="E99" s="281"/>
      <c r="F99" s="280"/>
      <c r="G99" s="274"/>
      <c r="H99" s="274"/>
      <c r="I99" s="274"/>
    </row>
    <row r="100" spans="1:9" x14ac:dyDescent="0.3">
      <c r="A100" s="422" t="s">
        <v>195</v>
      </c>
      <c r="B100" s="423"/>
      <c r="C100" s="423"/>
      <c r="D100" s="424"/>
      <c r="E100" s="281"/>
      <c r="F100" s="280"/>
      <c r="G100" s="274"/>
      <c r="H100" s="274"/>
      <c r="I100" s="274"/>
    </row>
    <row r="101" spans="1:9" x14ac:dyDescent="0.3">
      <c r="A101" s="49" t="s">
        <v>196</v>
      </c>
      <c r="B101" s="43"/>
      <c r="C101" s="44">
        <v>4102</v>
      </c>
      <c r="D101" s="285" t="e">
        <f>SUM(D102)</f>
        <v>#N/A</v>
      </c>
      <c r="E101" s="281"/>
      <c r="F101" s="280"/>
      <c r="G101" s="274"/>
      <c r="H101" s="274"/>
      <c r="I101" s="274"/>
    </row>
    <row r="102" spans="1:9" x14ac:dyDescent="0.3">
      <c r="A102" s="43"/>
      <c r="B102" s="43" t="s">
        <v>197</v>
      </c>
      <c r="C102" s="117">
        <v>4102</v>
      </c>
      <c r="D102" s="286" t="e">
        <f>+Belasting!E45</f>
        <v>#N/A</v>
      </c>
      <c r="E102" s="281"/>
      <c r="F102" s="280"/>
      <c r="G102" s="274"/>
      <c r="H102" s="274"/>
      <c r="I102" s="274"/>
    </row>
    <row r="103" spans="1:9" x14ac:dyDescent="0.3">
      <c r="A103" s="43"/>
      <c r="B103" s="43"/>
      <c r="C103" s="117"/>
      <c r="D103" s="287"/>
      <c r="E103" s="281"/>
      <c r="F103" s="280"/>
      <c r="G103" s="274"/>
      <c r="H103" s="274"/>
      <c r="I103" s="274"/>
    </row>
    <row r="104" spans="1:9" x14ac:dyDescent="0.3">
      <c r="A104" s="26" t="s">
        <v>198</v>
      </c>
      <c r="B104"/>
      <c r="C104" s="44">
        <v>4141</v>
      </c>
      <c r="D104" s="34">
        <f>SUM(D105:D106)</f>
        <v>0</v>
      </c>
      <c r="E104" s="273"/>
      <c r="F104" s="280"/>
      <c r="G104" s="274"/>
      <c r="H104" s="274"/>
      <c r="I104" s="274"/>
    </row>
    <row r="105" spans="1:9" x14ac:dyDescent="0.3">
      <c r="A105"/>
      <c r="B105" t="s">
        <v>199</v>
      </c>
      <c r="C105" s="117">
        <v>4141</v>
      </c>
      <c r="D105" s="127">
        <f>+Belasting!E48</f>
        <v>0</v>
      </c>
      <c r="E105" s="281"/>
      <c r="F105" s="280"/>
      <c r="G105" s="274"/>
      <c r="H105" s="274"/>
      <c r="I105" s="274"/>
    </row>
    <row r="106" spans="1:9" x14ac:dyDescent="0.3">
      <c r="A106"/>
      <c r="B106" t="s">
        <v>200</v>
      </c>
      <c r="C106" s="117">
        <v>4141</v>
      </c>
      <c r="D106" s="70">
        <f>+D105</f>
        <v>0</v>
      </c>
      <c r="E106" s="281"/>
      <c r="F106" s="280"/>
      <c r="G106" s="274"/>
      <c r="H106" s="274"/>
      <c r="I106" s="274"/>
    </row>
    <row r="107" spans="1:9" x14ac:dyDescent="0.3">
      <c r="A107"/>
      <c r="B107"/>
      <c r="C107" s="117"/>
      <c r="D107" s="288"/>
      <c r="E107" s="273"/>
      <c r="F107" s="280"/>
      <c r="G107" s="274"/>
      <c r="H107" s="274"/>
      <c r="I107" s="274"/>
    </row>
    <row r="108" spans="1:9" x14ac:dyDescent="0.3">
      <c r="A108"/>
      <c r="B108"/>
      <c r="C108" s="117"/>
      <c r="D108" s="55"/>
      <c r="E108" s="281"/>
      <c r="F108" s="280"/>
      <c r="G108" s="274"/>
      <c r="H108" s="274"/>
      <c r="I108" s="274"/>
    </row>
    <row r="109" spans="1:9" ht="15" thickBot="1" x14ac:dyDescent="0.35">
      <c r="A109" s="113" t="s">
        <v>201</v>
      </c>
      <c r="B109"/>
      <c r="C109" s="44">
        <v>4149</v>
      </c>
      <c r="D109" s="289" t="e">
        <f>+D104+D101</f>
        <v>#N/A</v>
      </c>
      <c r="E109" s="281"/>
      <c r="F109" s="280"/>
      <c r="G109" s="274"/>
      <c r="H109" s="274"/>
      <c r="I109" s="274"/>
    </row>
    <row r="110" spans="1:9" ht="15" thickTop="1" x14ac:dyDescent="0.3">
      <c r="A110"/>
      <c r="B110"/>
      <c r="C110" s="117"/>
      <c r="D110" s="255"/>
      <c r="E110" s="273"/>
      <c r="F110" s="280"/>
      <c r="G110" s="274"/>
      <c r="H110" s="274"/>
      <c r="I110" s="274"/>
    </row>
    <row r="111" spans="1:9" ht="15" thickBot="1" x14ac:dyDescent="0.35">
      <c r="A111" s="113" t="s">
        <v>202</v>
      </c>
      <c r="B111"/>
      <c r="C111" s="44">
        <v>4116</v>
      </c>
      <c r="D111" s="291">
        <f>+Belastingtabel!E42</f>
        <v>0</v>
      </c>
      <c r="E111" s="281" t="s">
        <v>211</v>
      </c>
      <c r="F111" s="280"/>
      <c r="G111" s="274"/>
      <c r="H111" s="274"/>
      <c r="I111" s="274"/>
    </row>
    <row r="112" spans="1:9" ht="15" thickTop="1" x14ac:dyDescent="0.3">
      <c r="A112"/>
      <c r="B112"/>
      <c r="C112" s="117"/>
      <c r="D112" s="255"/>
      <c r="E112" s="281"/>
      <c r="F112" s="280"/>
      <c r="G112" s="274"/>
      <c r="H112" s="274"/>
      <c r="I112" s="274"/>
    </row>
    <row r="113" spans="1:9" ht="15" thickBot="1" x14ac:dyDescent="0.35">
      <c r="A113" s="113" t="s">
        <v>301</v>
      </c>
      <c r="B113"/>
      <c r="C113" s="44">
        <v>4120</v>
      </c>
      <c r="D113" s="290"/>
      <c r="E113" s="281" t="s">
        <v>302</v>
      </c>
      <c r="F113" s="280"/>
      <c r="G113" s="274"/>
      <c r="H113" s="274"/>
      <c r="I113" s="274"/>
    </row>
    <row r="114" spans="1:9" ht="15" thickTop="1" x14ac:dyDescent="0.3">
      <c r="A114"/>
      <c r="B114" t="s">
        <v>303</v>
      </c>
      <c r="C114" s="117"/>
      <c r="D114" s="255"/>
      <c r="E114" s="281"/>
      <c r="F114" s="280"/>
      <c r="G114" s="274"/>
      <c r="H114" s="274"/>
      <c r="I114" s="274"/>
    </row>
    <row r="115" spans="1:9" x14ac:dyDescent="0.3">
      <c r="D115" s="262"/>
      <c r="E115" s="283"/>
      <c r="F115" s="280"/>
      <c r="G115" s="274"/>
      <c r="H115" s="274"/>
      <c r="I115" s="274"/>
    </row>
    <row r="116" spans="1:9" x14ac:dyDescent="0.3">
      <c r="D116" s="262"/>
      <c r="E116" s="283"/>
      <c r="F116" s="280"/>
      <c r="G116" s="274"/>
      <c r="H116" s="274"/>
      <c r="I116" s="274"/>
    </row>
    <row r="117" spans="1:9" x14ac:dyDescent="0.3">
      <c r="D117" s="262"/>
      <c r="E117" s="268"/>
      <c r="F117" s="254"/>
    </row>
    <row r="118" spans="1:9" x14ac:dyDescent="0.3">
      <c r="D118" s="262"/>
      <c r="E118" s="268"/>
      <c r="F118" s="254"/>
    </row>
    <row r="119" spans="1:9" x14ac:dyDescent="0.3">
      <c r="A119" s="38"/>
      <c r="E119" s="254"/>
      <c r="F119" s="254"/>
    </row>
  </sheetData>
  <sheetProtection password="904A" sheet="1" objects="1" scenarios="1" selectLockedCells="1"/>
  <mergeCells count="10">
    <mergeCell ref="A63:B63"/>
    <mergeCell ref="A67:B67"/>
    <mergeCell ref="A71:B71"/>
    <mergeCell ref="A100:D100"/>
    <mergeCell ref="A8:D8"/>
    <mergeCell ref="E19:I19"/>
    <mergeCell ref="A44:B44"/>
    <mergeCell ref="A47:B47"/>
    <mergeCell ref="A50:B50"/>
    <mergeCell ref="A62:D6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Syfers</vt:lpstr>
      <vt:lpstr>Behuising-tax</vt:lpstr>
      <vt:lpstr>Werksmotor-tax</vt:lpstr>
      <vt:lpstr>Belasting</vt:lpstr>
      <vt:lpstr>Belastingtabel</vt:lpstr>
      <vt:lpstr>Payslip</vt:lpstr>
      <vt:lpstr>IRP5-opsomming pm</vt:lpstr>
      <vt:lpstr>'Behuising-tax'!Print_Area</vt:lpstr>
      <vt:lpstr>Belastingtabel!Print_Area</vt:lpstr>
      <vt:lpstr>'Werksmotor-tax'!Print_Area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van Eck</dc:creator>
  <cp:lastModifiedBy>Ingrid van Eck</cp:lastModifiedBy>
  <cp:lastPrinted>2021-01-19T10:20:37Z</cp:lastPrinted>
  <dcterms:created xsi:type="dcterms:W3CDTF">2013-01-24T10:03:50Z</dcterms:created>
  <dcterms:modified xsi:type="dcterms:W3CDTF">2026-03-12T08:23:06Z</dcterms:modified>
</cp:coreProperties>
</file>